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710" windowWidth="15590" windowHeight="6830" tabRatio="458" activeTab="2"/>
  </bookViews>
  <sheets>
    <sheet name="Top Sheet" sheetId="9" r:id="rId1"/>
    <sheet name="Summary New Year" sheetId="20" r:id="rId2"/>
    <sheet name="New Year-Full Year" sheetId="1" r:id="rId3"/>
    <sheet name="Pastor Detail" sheetId="21" r:id="rId4"/>
    <sheet name="Band Estimate" sheetId="22" r:id="rId5"/>
    <sheet name="Rates" sheetId="24" r:id="rId6"/>
  </sheets>
  <definedNames>
    <definedName name="Bud_Yr">'Top Sheet'!$C$2</definedName>
    <definedName name="_xlnm.Print_Titles" localSheetId="2">'New Year-Full Year'!$2:$4</definedName>
    <definedName name="_xlnm.Print_Titles" localSheetId="1">'Summary New Year'!$1:$4</definedName>
  </definedNames>
  <calcPr calcId="124519"/>
</workbook>
</file>

<file path=xl/calcChain.xml><?xml version="1.0" encoding="utf-8"?>
<calcChain xmlns="http://schemas.openxmlformats.org/spreadsheetml/2006/main">
  <c r="U80" i="1"/>
  <c r="T80"/>
  <c r="C8" i="20"/>
  <c r="E8"/>
  <c r="F8"/>
  <c r="G8" s="1"/>
  <c r="I8"/>
  <c r="J8"/>
  <c r="K8"/>
  <c r="V8" i="1"/>
  <c r="R8"/>
  <c r="Q8"/>
  <c r="C10" i="24"/>
  <c r="C9"/>
  <c r="C8"/>
  <c r="C7"/>
  <c r="C6"/>
  <c r="C5"/>
  <c r="F75" i="20"/>
  <c r="O178" i="1"/>
  <c r="O143"/>
  <c r="O127"/>
  <c r="Q127" s="1"/>
  <c r="O126"/>
  <c r="O125"/>
  <c r="O123"/>
  <c r="Q123" s="1"/>
  <c r="O44"/>
  <c r="W125"/>
  <c r="V127"/>
  <c r="V123"/>
  <c r="C74" i="22"/>
  <c r="C10"/>
  <c r="C64"/>
  <c r="C63"/>
  <c r="E55"/>
  <c r="C55"/>
  <c r="C57" s="1"/>
  <c r="C60" s="1"/>
  <c r="C46"/>
  <c r="C47"/>
  <c r="C30"/>
  <c r="C15"/>
  <c r="C25" s="1"/>
  <c r="C27" s="1"/>
  <c r="C102" i="20"/>
  <c r="E102"/>
  <c r="F102"/>
  <c r="G102" s="1"/>
  <c r="I102"/>
  <c r="J102"/>
  <c r="K102" s="1"/>
  <c r="E59"/>
  <c r="F59"/>
  <c r="G59" s="1"/>
  <c r="I59"/>
  <c r="J59"/>
  <c r="K59" s="1"/>
  <c r="C59"/>
  <c r="J74"/>
  <c r="J75"/>
  <c r="I75"/>
  <c r="I74"/>
  <c r="T119" i="1"/>
  <c r="O136"/>
  <c r="O159"/>
  <c r="O96"/>
  <c r="Q96" s="1"/>
  <c r="V96"/>
  <c r="R96"/>
  <c r="G57" i="21"/>
  <c r="O98" i="1"/>
  <c r="V97"/>
  <c r="R97"/>
  <c r="Q97"/>
  <c r="V95"/>
  <c r="R95"/>
  <c r="Q95"/>
  <c r="V94"/>
  <c r="R94"/>
  <c r="Q94"/>
  <c r="R127" l="1"/>
  <c r="R123"/>
  <c r="C32" i="22"/>
  <c r="C37" s="1"/>
  <c r="C31"/>
  <c r="C67"/>
  <c r="C69" s="1"/>
  <c r="C72" s="1"/>
  <c r="C42"/>
  <c r="C44" s="1"/>
  <c r="C49" s="1"/>
  <c r="C52" s="1"/>
  <c r="G51" i="21"/>
  <c r="G37"/>
  <c r="G30"/>
  <c r="G11"/>
  <c r="F30"/>
  <c r="E30"/>
  <c r="C30"/>
  <c r="G28"/>
  <c r="F28"/>
  <c r="E28"/>
  <c r="D28"/>
  <c r="C28"/>
  <c r="O81" i="1"/>
  <c r="O89"/>
  <c r="O88"/>
  <c r="O87"/>
  <c r="D63" i="21"/>
  <c r="V88" i="1"/>
  <c r="D60" i="21"/>
  <c r="H60"/>
  <c r="H63" s="1"/>
  <c r="H58"/>
  <c r="D58"/>
  <c r="E58"/>
  <c r="F58"/>
  <c r="G58"/>
  <c r="C58"/>
  <c r="H57"/>
  <c r="H39"/>
  <c r="H17"/>
  <c r="H46"/>
  <c r="E3"/>
  <c r="E46"/>
  <c r="E26"/>
  <c r="E14"/>
  <c r="D48"/>
  <c r="D46"/>
  <c r="F46"/>
  <c r="G46"/>
  <c r="C46"/>
  <c r="P144" i="1"/>
  <c r="E75" i="20" l="1"/>
  <c r="C33" i="22"/>
  <c r="C38"/>
  <c r="C39" s="1"/>
  <c r="Q88" i="1"/>
  <c r="R88"/>
  <c r="E33" i="21"/>
  <c r="D33"/>
  <c r="D49" s="1"/>
  <c r="D5"/>
  <c r="D8"/>
  <c r="D14"/>
  <c r="C14"/>
  <c r="F14"/>
  <c r="G14"/>
  <c r="F26"/>
  <c r="G33"/>
  <c r="G38" s="1"/>
  <c r="C8"/>
  <c r="C26" s="1"/>
  <c r="B5"/>
  <c r="O129" i="1"/>
  <c r="O164"/>
  <c r="O157"/>
  <c r="O155"/>
  <c r="O154"/>
  <c r="P145"/>
  <c r="H145"/>
  <c r="H144"/>
  <c r="F144" s="1"/>
  <c r="P138"/>
  <c r="H135"/>
  <c r="P135"/>
  <c r="M131"/>
  <c r="I131"/>
  <c r="E131"/>
  <c r="O7"/>
  <c r="V176"/>
  <c r="R176"/>
  <c r="Q176"/>
  <c r="L136"/>
  <c r="V137"/>
  <c r="R137"/>
  <c r="Q137"/>
  <c r="V144"/>
  <c r="L144"/>
  <c r="V65"/>
  <c r="R65"/>
  <c r="Q65"/>
  <c r="P102"/>
  <c r="C75" i="22" l="1"/>
  <c r="D38" i="21"/>
  <c r="P83" i="1" s="1"/>
  <c r="H23" i="21"/>
  <c r="H21"/>
  <c r="F33"/>
  <c r="F48"/>
  <c r="E38"/>
  <c r="E49"/>
  <c r="C33"/>
  <c r="C48"/>
  <c r="B6"/>
  <c r="O144" i="1"/>
  <c r="W144"/>
  <c r="R136"/>
  <c r="J105" i="20"/>
  <c r="I105"/>
  <c r="F105"/>
  <c r="E105"/>
  <c r="K105" l="1"/>
  <c r="H47" i="21"/>
  <c r="H50" s="1"/>
  <c r="H51" s="1"/>
  <c r="G3"/>
  <c r="G6" s="1"/>
  <c r="C3"/>
  <c r="C6" s="1"/>
  <c r="D3"/>
  <c r="D6" s="1"/>
  <c r="D11" s="1"/>
  <c r="C38"/>
  <c r="C49"/>
  <c r="F38"/>
  <c r="F49"/>
  <c r="R144" i="1"/>
  <c r="G105" i="20"/>
  <c r="Q144" i="1"/>
  <c r="Q136"/>
  <c r="D17" i="21" l="1"/>
  <c r="D21" s="1"/>
  <c r="D23" s="1"/>
  <c r="P80" i="1"/>
  <c r="G17" i="21"/>
  <c r="O80" i="1" s="1"/>
  <c r="C11" i="21"/>
  <c r="C17" s="1"/>
  <c r="F11"/>
  <c r="F17" s="1"/>
  <c r="D36" l="1"/>
  <c r="D37" s="1"/>
  <c r="D47"/>
  <c r="D50" s="1"/>
  <c r="D51" s="1"/>
  <c r="P86" i="1" s="1"/>
  <c r="G21" i="21"/>
  <c r="O82" i="1" s="1"/>
  <c r="C21" i="21"/>
  <c r="C23" s="1"/>
  <c r="F21"/>
  <c r="F23" s="1"/>
  <c r="V145" i="1"/>
  <c r="G23" i="21" l="1"/>
  <c r="G47" s="1"/>
  <c r="G50" s="1"/>
  <c r="O86" i="1" s="1"/>
  <c r="D39" i="21"/>
  <c r="D40" s="1"/>
  <c r="P84" i="1"/>
  <c r="F36" i="21"/>
  <c r="F47"/>
  <c r="F50" s="1"/>
  <c r="F51" s="1"/>
  <c r="C36"/>
  <c r="C47"/>
  <c r="C50" s="1"/>
  <c r="C51" s="1"/>
  <c r="F37"/>
  <c r="F39" s="1"/>
  <c r="F60" s="1"/>
  <c r="F63" s="1"/>
  <c r="C37"/>
  <c r="C39" s="1"/>
  <c r="C60" s="1"/>
  <c r="C63" s="1"/>
  <c r="U99" i="1"/>
  <c r="T99"/>
  <c r="P99"/>
  <c r="O99"/>
  <c r="G36" i="21" l="1"/>
  <c r="G39" s="1"/>
  <c r="G60" s="1"/>
  <c r="G63" s="1"/>
  <c r="C40"/>
  <c r="F40"/>
  <c r="V179" i="1"/>
  <c r="R179"/>
  <c r="V84"/>
  <c r="R85"/>
  <c r="V83"/>
  <c r="R83"/>
  <c r="Q83"/>
  <c r="G40" i="21" l="1"/>
  <c r="O84" i="1"/>
  <c r="V85"/>
  <c r="Q179"/>
  <c r="Q85"/>
  <c r="O90" l="1"/>
  <c r="I111"/>
  <c r="E112"/>
  <c r="O107"/>
  <c r="L140"/>
  <c r="W140" s="1"/>
  <c r="L139"/>
  <c r="L138"/>
  <c r="L135"/>
  <c r="W135" s="1"/>
  <c r="L145"/>
  <c r="H139"/>
  <c r="F139" s="1"/>
  <c r="W139" s="1"/>
  <c r="H138"/>
  <c r="F138" s="1"/>
  <c r="W138" s="1"/>
  <c r="L108"/>
  <c r="F108"/>
  <c r="O108" l="1"/>
  <c r="W108"/>
  <c r="O138"/>
  <c r="F145"/>
  <c r="O102"/>
  <c r="M75"/>
  <c r="I75"/>
  <c r="E75"/>
  <c r="W4"/>
  <c r="T2"/>
  <c r="Q3"/>
  <c r="P3"/>
  <c r="O3"/>
  <c r="Q84" l="1"/>
  <c r="R84"/>
  <c r="P146"/>
  <c r="F74" i="20" s="1"/>
  <c r="O145" i="1"/>
  <c r="G81" s="1"/>
  <c r="W145"/>
  <c r="O135"/>
  <c r="V126"/>
  <c r="R126"/>
  <c r="Q126" l="1"/>
  <c r="V45" l="1"/>
  <c r="R45"/>
  <c r="Q45"/>
  <c r="R145"/>
  <c r="Q145"/>
  <c r="C9" i="20"/>
  <c r="C10"/>
  <c r="C11"/>
  <c r="C12"/>
  <c r="C7"/>
  <c r="C17"/>
  <c r="C18"/>
  <c r="C19"/>
  <c r="C20"/>
  <c r="C16"/>
  <c r="C30"/>
  <c r="C31"/>
  <c r="C32"/>
  <c r="C33"/>
  <c r="C34"/>
  <c r="C35"/>
  <c r="C29"/>
  <c r="C40"/>
  <c r="C41"/>
  <c r="C39"/>
  <c r="C48"/>
  <c r="C47"/>
  <c r="C55"/>
  <c r="C56"/>
  <c r="C57"/>
  <c r="C58"/>
  <c r="C60"/>
  <c r="C54"/>
  <c r="C65"/>
  <c r="C66"/>
  <c r="C67"/>
  <c r="C68"/>
  <c r="C64"/>
  <c r="C81"/>
  <c r="C82"/>
  <c r="C83"/>
  <c r="C84"/>
  <c r="C85"/>
  <c r="C86"/>
  <c r="C80"/>
  <c r="C91"/>
  <c r="C92"/>
  <c r="C93"/>
  <c r="C94"/>
  <c r="C95"/>
  <c r="C90"/>
  <c r="C103"/>
  <c r="C104"/>
  <c r="C106"/>
  <c r="C101"/>
  <c r="O131" i="1"/>
  <c r="O128"/>
  <c r="O122"/>
  <c r="P87"/>
  <c r="G82" l="1"/>
  <c r="G83" s="1"/>
  <c r="V175"/>
  <c r="P181" l="1"/>
  <c r="J101" i="20" l="1"/>
  <c r="I101"/>
  <c r="F101"/>
  <c r="R175" i="1"/>
  <c r="E101" i="20" l="1"/>
  <c r="Q175" i="1"/>
  <c r="P27" l="1"/>
  <c r="P28"/>
  <c r="P149"/>
  <c r="P161"/>
  <c r="P170"/>
  <c r="P132"/>
  <c r="P90"/>
  <c r="P104"/>
  <c r="P109"/>
  <c r="P119"/>
  <c r="P75"/>
  <c r="P67"/>
  <c r="P55"/>
  <c r="P21"/>
  <c r="P48"/>
  <c r="F73" i="20" l="1"/>
  <c r="F76" s="1"/>
  <c r="I146" i="1"/>
  <c r="P171"/>
  <c r="I3" i="20"/>
  <c r="J10" l="1"/>
  <c r="J11"/>
  <c r="I10"/>
  <c r="I11"/>
  <c r="E58"/>
  <c r="F58"/>
  <c r="I58"/>
  <c r="J58"/>
  <c r="G58" l="1"/>
  <c r="K58"/>
  <c r="V64" i="1"/>
  <c r="R64"/>
  <c r="Q64" l="1"/>
  <c r="E34" i="20" l="1"/>
  <c r="F34"/>
  <c r="I34"/>
  <c r="J34"/>
  <c r="V117" i="1"/>
  <c r="R117"/>
  <c r="Q117"/>
  <c r="U104"/>
  <c r="T104"/>
  <c r="O104"/>
  <c r="V103"/>
  <c r="R103"/>
  <c r="Q103"/>
  <c r="V102"/>
  <c r="R102"/>
  <c r="Q102"/>
  <c r="H102"/>
  <c r="R104" l="1"/>
  <c r="V104"/>
  <c r="K34" i="20"/>
  <c r="G34"/>
  <c r="Q104" i="1"/>
  <c r="Q180"/>
  <c r="Q178"/>
  <c r="Q177"/>
  <c r="Q169"/>
  <c r="Q168"/>
  <c r="Q167"/>
  <c r="Q166"/>
  <c r="Q165"/>
  <c r="Q164"/>
  <c r="Q160"/>
  <c r="Q159"/>
  <c r="Q158"/>
  <c r="Q157"/>
  <c r="Q156"/>
  <c r="Q155"/>
  <c r="Q154"/>
  <c r="Q148"/>
  <c r="Q143"/>
  <c r="Q141"/>
  <c r="Q131"/>
  <c r="Q130"/>
  <c r="Q129"/>
  <c r="Q124"/>
  <c r="Q122"/>
  <c r="Q118"/>
  <c r="Q116"/>
  <c r="Q115"/>
  <c r="Q114"/>
  <c r="Q113"/>
  <c r="Q108"/>
  <c r="Q98"/>
  <c r="Q93"/>
  <c r="Q99" s="1"/>
  <c r="Q89"/>
  <c r="Q87"/>
  <c r="Q86"/>
  <c r="Q82"/>
  <c r="Q81"/>
  <c r="Q80"/>
  <c r="Q72"/>
  <c r="Q71"/>
  <c r="Q70"/>
  <c r="Q63"/>
  <c r="Q62"/>
  <c r="Q57"/>
  <c r="Q54"/>
  <c r="Q53"/>
  <c r="Q50"/>
  <c r="Q46"/>
  <c r="Q44"/>
  <c r="Q39"/>
  <c r="Q38"/>
  <c r="Q37"/>
  <c r="Q36"/>
  <c r="Q35"/>
  <c r="Q161" l="1"/>
  <c r="Q170"/>
  <c r="Q55"/>
  <c r="Q181"/>
  <c r="Q90"/>
  <c r="Q171" l="1"/>
  <c r="Q135" l="1"/>
  <c r="R39"/>
  <c r="V39"/>
  <c r="G4" i="20" l="1"/>
  <c r="F4"/>
  <c r="E4"/>
  <c r="J4"/>
  <c r="I4"/>
  <c r="V50" i="1"/>
  <c r="R50"/>
  <c r="J44" i="20"/>
  <c r="I44"/>
  <c r="F44"/>
  <c r="E44"/>
  <c r="G44" l="1"/>
  <c r="K44"/>
  <c r="J106" l="1"/>
  <c r="J103"/>
  <c r="J95"/>
  <c r="J94"/>
  <c r="J93"/>
  <c r="J92"/>
  <c r="J91"/>
  <c r="J90"/>
  <c r="J86"/>
  <c r="J85"/>
  <c r="J84"/>
  <c r="J83"/>
  <c r="J82"/>
  <c r="J81"/>
  <c r="J80"/>
  <c r="J68"/>
  <c r="J67"/>
  <c r="J66"/>
  <c r="J65"/>
  <c r="J64"/>
  <c r="J60"/>
  <c r="J57"/>
  <c r="J56"/>
  <c r="J51"/>
  <c r="J48"/>
  <c r="J47"/>
  <c r="J41"/>
  <c r="J40"/>
  <c r="J39"/>
  <c r="J35"/>
  <c r="J33"/>
  <c r="J31"/>
  <c r="J30"/>
  <c r="J29"/>
  <c r="J25"/>
  <c r="J16"/>
  <c r="J12"/>
  <c r="J9"/>
  <c r="J7"/>
  <c r="I104"/>
  <c r="I103"/>
  <c r="I95"/>
  <c r="I94"/>
  <c r="I93"/>
  <c r="I92"/>
  <c r="I91"/>
  <c r="I90"/>
  <c r="I86"/>
  <c r="I85"/>
  <c r="I84"/>
  <c r="I83"/>
  <c r="I82"/>
  <c r="I81"/>
  <c r="I80"/>
  <c r="I68"/>
  <c r="I67"/>
  <c r="I66"/>
  <c r="I65"/>
  <c r="I64"/>
  <c r="I60"/>
  <c r="I57"/>
  <c r="I56"/>
  <c r="I51"/>
  <c r="I48"/>
  <c r="I47"/>
  <c r="I41"/>
  <c r="I40"/>
  <c r="I39"/>
  <c r="I35"/>
  <c r="I33"/>
  <c r="I32"/>
  <c r="I31"/>
  <c r="I30"/>
  <c r="I29"/>
  <c r="I25"/>
  <c r="I20"/>
  <c r="I19"/>
  <c r="I17"/>
  <c r="I16"/>
  <c r="I12"/>
  <c r="I9"/>
  <c r="I7"/>
  <c r="V87" i="1"/>
  <c r="R87"/>
  <c r="J49" i="20" l="1"/>
  <c r="I87"/>
  <c r="I36"/>
  <c r="I13"/>
  <c r="I42"/>
  <c r="J87"/>
  <c r="J96"/>
  <c r="I49"/>
  <c r="I96"/>
  <c r="J13"/>
  <c r="J42"/>
  <c r="I97" l="1"/>
  <c r="J97"/>
  <c r="V130" i="1"/>
  <c r="R130"/>
  <c r="Q7"/>
  <c r="Q73"/>
  <c r="Q74"/>
  <c r="Q61"/>
  <c r="Q66"/>
  <c r="Q60"/>
  <c r="Q47"/>
  <c r="Q40"/>
  <c r="V82"/>
  <c r="R82"/>
  <c r="Q75" l="1"/>
  <c r="Q48"/>
  <c r="Q67"/>
  <c r="F30" i="20"/>
  <c r="F31"/>
  <c r="F32"/>
  <c r="F33"/>
  <c r="F35"/>
  <c r="F39"/>
  <c r="F40"/>
  <c r="F41"/>
  <c r="F47"/>
  <c r="F48"/>
  <c r="F51"/>
  <c r="F54"/>
  <c r="F55"/>
  <c r="F56"/>
  <c r="F57"/>
  <c r="F60"/>
  <c r="F64"/>
  <c r="F65"/>
  <c r="F66"/>
  <c r="F67"/>
  <c r="F68"/>
  <c r="F80"/>
  <c r="F81"/>
  <c r="F82"/>
  <c r="F83"/>
  <c r="F84"/>
  <c r="F85"/>
  <c r="F86"/>
  <c r="F90"/>
  <c r="F91"/>
  <c r="F92"/>
  <c r="F93"/>
  <c r="F94"/>
  <c r="F95"/>
  <c r="F103"/>
  <c r="F104"/>
  <c r="F106"/>
  <c r="F16"/>
  <c r="F17"/>
  <c r="F18"/>
  <c r="F19"/>
  <c r="F20"/>
  <c r="F7"/>
  <c r="O142" i="1"/>
  <c r="Q142" l="1"/>
  <c r="F42" i="20"/>
  <c r="F107"/>
  <c r="F61"/>
  <c r="F69"/>
  <c r="F49"/>
  <c r="F87"/>
  <c r="F96"/>
  <c r="F97" l="1"/>
  <c r="E106" l="1"/>
  <c r="G106" s="1"/>
  <c r="E104"/>
  <c r="G104" s="1"/>
  <c r="E103"/>
  <c r="E94"/>
  <c r="E93"/>
  <c r="E92"/>
  <c r="E91"/>
  <c r="E90"/>
  <c r="E81"/>
  <c r="E82"/>
  <c r="E83"/>
  <c r="G83" s="1"/>
  <c r="E84"/>
  <c r="E85"/>
  <c r="E86"/>
  <c r="E80"/>
  <c r="E68"/>
  <c r="E67"/>
  <c r="E66"/>
  <c r="E65"/>
  <c r="E64"/>
  <c r="E60"/>
  <c r="E57"/>
  <c r="E55"/>
  <c r="E54"/>
  <c r="E51"/>
  <c r="E48"/>
  <c r="E47"/>
  <c r="E41"/>
  <c r="E40"/>
  <c r="E39"/>
  <c r="E30"/>
  <c r="E31"/>
  <c r="E32"/>
  <c r="E33"/>
  <c r="E35"/>
  <c r="K95"/>
  <c r="G20"/>
  <c r="G19"/>
  <c r="G17"/>
  <c r="K11"/>
  <c r="E49" l="1"/>
  <c r="G41"/>
  <c r="G55"/>
  <c r="K12"/>
  <c r="G93"/>
  <c r="G81"/>
  <c r="G85"/>
  <c r="G39"/>
  <c r="G40"/>
  <c r="G60"/>
  <c r="G103"/>
  <c r="E87"/>
  <c r="E107"/>
  <c r="G91"/>
  <c r="G82"/>
  <c r="G86"/>
  <c r="G92"/>
  <c r="G90"/>
  <c r="G94"/>
  <c r="G84"/>
  <c r="G30"/>
  <c r="G35"/>
  <c r="G67"/>
  <c r="G51"/>
  <c r="G31"/>
  <c r="G57"/>
  <c r="G68"/>
  <c r="K31"/>
  <c r="G48"/>
  <c r="G65"/>
  <c r="E69"/>
  <c r="E42"/>
  <c r="G66"/>
  <c r="G33"/>
  <c r="G32"/>
  <c r="K9"/>
  <c r="G101"/>
  <c r="G47"/>
  <c r="K86"/>
  <c r="K33"/>
  <c r="F21"/>
  <c r="G54"/>
  <c r="G18"/>
  <c r="G80"/>
  <c r="G64"/>
  <c r="E56"/>
  <c r="G56" s="1"/>
  <c r="G49" l="1"/>
  <c r="G107"/>
  <c r="E61"/>
  <c r="G69"/>
  <c r="G42"/>
  <c r="G87"/>
  <c r="G61" l="1"/>
  <c r="E95" l="1"/>
  <c r="E96" l="1"/>
  <c r="E97" s="1"/>
  <c r="G97" s="1"/>
  <c r="G95"/>
  <c r="V143" i="1"/>
  <c r="R143"/>
  <c r="G96" i="20" l="1"/>
  <c r="G75"/>
  <c r="H129" i="1"/>
  <c r="H107"/>
  <c r="O20"/>
  <c r="O19"/>
  <c r="O18"/>
  <c r="O17"/>
  <c r="E16" i="20" l="1"/>
  <c r="G16" s="1"/>
  <c r="Q16" i="1"/>
  <c r="E17" i="20"/>
  <c r="Q17" i="1"/>
  <c r="E18" i="20"/>
  <c r="Q18" i="1"/>
  <c r="E19" i="20"/>
  <c r="Q19" i="1"/>
  <c r="E20" i="20"/>
  <c r="Q20" i="1"/>
  <c r="Q138" l="1"/>
  <c r="E21" i="20"/>
  <c r="G21" s="1"/>
  <c r="Q21" i="1"/>
  <c r="E7" i="20"/>
  <c r="G7" l="1"/>
  <c r="Q128" i="1" l="1"/>
  <c r="Q125"/>
  <c r="Q132" l="1"/>
  <c r="Q112"/>
  <c r="Q119" s="1"/>
  <c r="Q107"/>
  <c r="Q109" s="1"/>
  <c r="O28" l="1"/>
  <c r="Q28" s="1"/>
  <c r="O27"/>
  <c r="Q27" s="1"/>
  <c r="K10" i="20" l="1"/>
  <c r="K56"/>
  <c r="K25"/>
  <c r="J54"/>
  <c r="J55"/>
  <c r="J104"/>
  <c r="K104" s="1"/>
  <c r="I69"/>
  <c r="I54"/>
  <c r="I55"/>
  <c r="I18"/>
  <c r="I21" s="1"/>
  <c r="I22" s="1"/>
  <c r="I112" s="1"/>
  <c r="I106"/>
  <c r="K106" s="1"/>
  <c r="K55" l="1"/>
  <c r="I107"/>
  <c r="I61"/>
  <c r="I70" s="1"/>
  <c r="J69"/>
  <c r="J61"/>
  <c r="K54"/>
  <c r="J107"/>
  <c r="K101"/>
  <c r="K7"/>
  <c r="K13"/>
  <c r="K103" l="1"/>
  <c r="K107"/>
  <c r="K91"/>
  <c r="K83"/>
  <c r="K90" l="1"/>
  <c r="K16"/>
  <c r="K60"/>
  <c r="K84"/>
  <c r="K92"/>
  <c r="K41"/>
  <c r="K51"/>
  <c r="K30"/>
  <c r="K94"/>
  <c r="K93"/>
  <c r="K85"/>
  <c r="K82"/>
  <c r="K81"/>
  <c r="K35"/>
  <c r="K68"/>
  <c r="K67"/>
  <c r="K66"/>
  <c r="K65"/>
  <c r="K48"/>
  <c r="K40"/>
  <c r="K96" l="1"/>
  <c r="K80"/>
  <c r="K69"/>
  <c r="K64"/>
  <c r="K57"/>
  <c r="K61"/>
  <c r="K49"/>
  <c r="K47"/>
  <c r="K39"/>
  <c r="K29"/>
  <c r="J32"/>
  <c r="J20"/>
  <c r="K20" s="1"/>
  <c r="J18"/>
  <c r="K18" s="1"/>
  <c r="J19"/>
  <c r="K19" s="1"/>
  <c r="J17"/>
  <c r="K74" l="1"/>
  <c r="J36"/>
  <c r="J70" s="1"/>
  <c r="K32"/>
  <c r="J21"/>
  <c r="K17"/>
  <c r="K97"/>
  <c r="K87"/>
  <c r="K75"/>
  <c r="K36" l="1"/>
  <c r="J22"/>
  <c r="K21"/>
  <c r="K22" l="1"/>
  <c r="J112"/>
  <c r="K112" s="1"/>
  <c r="K42"/>
  <c r="K70"/>
  <c r="U55" i="1" l="1"/>
  <c r="T55"/>
  <c r="O55"/>
  <c r="V54"/>
  <c r="R54"/>
  <c r="V53"/>
  <c r="R53"/>
  <c r="V55" l="1"/>
  <c r="R55"/>
  <c r="R112" l="1"/>
  <c r="R180"/>
  <c r="R178"/>
  <c r="R177"/>
  <c r="R169"/>
  <c r="R168"/>
  <c r="R167"/>
  <c r="R166"/>
  <c r="R165"/>
  <c r="R164"/>
  <c r="R160"/>
  <c r="R159"/>
  <c r="R158"/>
  <c r="R157"/>
  <c r="R156"/>
  <c r="R155"/>
  <c r="R154"/>
  <c r="R148"/>
  <c r="R142"/>
  <c r="R141"/>
  <c r="R138"/>
  <c r="R131"/>
  <c r="R125"/>
  <c r="R124"/>
  <c r="R122"/>
  <c r="R118"/>
  <c r="R116"/>
  <c r="R115"/>
  <c r="R114"/>
  <c r="R113"/>
  <c r="R108"/>
  <c r="R107"/>
  <c r="R98"/>
  <c r="R93"/>
  <c r="R89"/>
  <c r="R81"/>
  <c r="R74"/>
  <c r="R73"/>
  <c r="R72"/>
  <c r="R71"/>
  <c r="R70"/>
  <c r="R66"/>
  <c r="R63"/>
  <c r="R62"/>
  <c r="R61"/>
  <c r="R60"/>
  <c r="R57"/>
  <c r="R47"/>
  <c r="R46"/>
  <c r="R44"/>
  <c r="R40"/>
  <c r="R38"/>
  <c r="R37"/>
  <c r="R36"/>
  <c r="R35"/>
  <c r="R20"/>
  <c r="R19"/>
  <c r="R18"/>
  <c r="R17"/>
  <c r="R16"/>
  <c r="R7"/>
  <c r="V7"/>
  <c r="V180"/>
  <c r="V178"/>
  <c r="V177"/>
  <c r="V169"/>
  <c r="V168"/>
  <c r="V167"/>
  <c r="V166"/>
  <c r="V165"/>
  <c r="V164"/>
  <c r="V160"/>
  <c r="V159"/>
  <c r="V158"/>
  <c r="V157"/>
  <c r="V156"/>
  <c r="V155"/>
  <c r="V154"/>
  <c r="V148"/>
  <c r="V147"/>
  <c r="V146"/>
  <c r="V142"/>
  <c r="V141"/>
  <c r="V138"/>
  <c r="V131"/>
  <c r="V125"/>
  <c r="V124"/>
  <c r="V122"/>
  <c r="V118"/>
  <c r="V116"/>
  <c r="V115"/>
  <c r="V114"/>
  <c r="V113"/>
  <c r="V112"/>
  <c r="V108"/>
  <c r="V107"/>
  <c r="V98"/>
  <c r="V93"/>
  <c r="V89"/>
  <c r="V86"/>
  <c r="V81"/>
  <c r="V74"/>
  <c r="V73"/>
  <c r="V72"/>
  <c r="V71"/>
  <c r="V70"/>
  <c r="V66"/>
  <c r="V63"/>
  <c r="V62"/>
  <c r="V61"/>
  <c r="V60"/>
  <c r="V57"/>
  <c r="V47"/>
  <c r="V46"/>
  <c r="V44"/>
  <c r="V40"/>
  <c r="V38"/>
  <c r="V37"/>
  <c r="V36"/>
  <c r="V35"/>
  <c r="V34"/>
  <c r="V30"/>
  <c r="V20"/>
  <c r="V19"/>
  <c r="V18"/>
  <c r="V17"/>
  <c r="V16"/>
  <c r="V12"/>
  <c r="V11"/>
  <c r="V10"/>
  <c r="V9"/>
  <c r="U13"/>
  <c r="U21"/>
  <c r="U41"/>
  <c r="U48"/>
  <c r="U67"/>
  <c r="U75"/>
  <c r="U109"/>
  <c r="U119"/>
  <c r="U149"/>
  <c r="U161"/>
  <c r="U170"/>
  <c r="U181"/>
  <c r="T181"/>
  <c r="T170"/>
  <c r="T161"/>
  <c r="T149"/>
  <c r="T132"/>
  <c r="I73" i="20" s="1"/>
  <c r="I76" s="1"/>
  <c r="I109" s="1"/>
  <c r="T109" i="1"/>
  <c r="T90"/>
  <c r="T75"/>
  <c r="T67"/>
  <c r="T48"/>
  <c r="T41"/>
  <c r="T21"/>
  <c r="T13"/>
  <c r="O181"/>
  <c r="O170"/>
  <c r="O161"/>
  <c r="O119"/>
  <c r="O109"/>
  <c r="O75"/>
  <c r="O67"/>
  <c r="O48"/>
  <c r="O21"/>
  <c r="U76" l="1"/>
  <c r="T76"/>
  <c r="R67"/>
  <c r="R75"/>
  <c r="R109"/>
  <c r="R21"/>
  <c r="T22"/>
  <c r="T186" s="1"/>
  <c r="R181"/>
  <c r="R170"/>
  <c r="V109"/>
  <c r="V67"/>
  <c r="V21"/>
  <c r="R48"/>
  <c r="R119"/>
  <c r="V48"/>
  <c r="V149"/>
  <c r="V13"/>
  <c r="R161"/>
  <c r="V181"/>
  <c r="V161"/>
  <c r="V170"/>
  <c r="V119"/>
  <c r="V75"/>
  <c r="V41"/>
  <c r="U171"/>
  <c r="U22"/>
  <c r="U186" s="1"/>
  <c r="T171"/>
  <c r="O171"/>
  <c r="V186" l="1"/>
  <c r="V22"/>
  <c r="R171"/>
  <c r="V76"/>
  <c r="V171"/>
  <c r="I110" i="20" l="1"/>
  <c r="I113"/>
  <c r="I114" s="1"/>
  <c r="R135" i="1"/>
  <c r="R80" l="1"/>
  <c r="R86" l="1"/>
  <c r="R90" l="1"/>
  <c r="U90" l="1"/>
  <c r="V80"/>
  <c r="V90" l="1"/>
  <c r="R129" l="1"/>
  <c r="R128"/>
  <c r="O132"/>
  <c r="E146" l="1"/>
  <c r="O146"/>
  <c r="E74" i="20" s="1"/>
  <c r="E73"/>
  <c r="R132" i="1"/>
  <c r="G73" i="20" l="1"/>
  <c r="V129" i="1"/>
  <c r="Q147" l="1"/>
  <c r="R147"/>
  <c r="U132"/>
  <c r="J73" i="20" s="1"/>
  <c r="V128" i="1"/>
  <c r="K73" i="20" l="1"/>
  <c r="J76"/>
  <c r="V132" i="1"/>
  <c r="J109" i="20" l="1"/>
  <c r="K76"/>
  <c r="J110" l="1"/>
  <c r="K110" s="1"/>
  <c r="J113"/>
  <c r="K109"/>
  <c r="E9"/>
  <c r="E10"/>
  <c r="E11"/>
  <c r="O13" i="1"/>
  <c r="O22" s="1"/>
  <c r="O186" s="1"/>
  <c r="E12" i="20"/>
  <c r="K113" l="1"/>
  <c r="J114"/>
  <c r="K114" s="1"/>
  <c r="E13"/>
  <c r="E22" s="1"/>
  <c r="E112" s="1"/>
  <c r="O26" i="1"/>
  <c r="O29" l="1"/>
  <c r="O30" l="1"/>
  <c r="E25" i="20" l="1"/>
  <c r="R11" i="1"/>
  <c r="F11" i="20"/>
  <c r="G11" s="1"/>
  <c r="Q11" i="1"/>
  <c r="R12"/>
  <c r="Q12"/>
  <c r="F12" i="20"/>
  <c r="G12" s="1"/>
  <c r="R9" i="1"/>
  <c r="F9" i="20"/>
  <c r="G9" s="1"/>
  <c r="Q9" i="1"/>
  <c r="R10"/>
  <c r="F10" i="20"/>
  <c r="G10" s="1"/>
  <c r="P13" i="1"/>
  <c r="R13" s="1"/>
  <c r="Q10"/>
  <c r="Q13" l="1"/>
  <c r="Q22" s="1"/>
  <c r="F13" i="20"/>
  <c r="P22" i="1"/>
  <c r="P186" s="1"/>
  <c r="R186" l="1"/>
  <c r="Q186"/>
  <c r="R22"/>
  <c r="P26"/>
  <c r="F22" i="20"/>
  <c r="F112" s="1"/>
  <c r="G112" s="1"/>
  <c r="G13"/>
  <c r="G22" l="1"/>
  <c r="Q26" i="1"/>
  <c r="P29"/>
  <c r="Q29" l="1"/>
  <c r="Q30" s="1"/>
  <c r="P30"/>
  <c r="R30" l="1"/>
  <c r="F25" i="20"/>
  <c r="G25" l="1"/>
  <c r="O41" i="1"/>
  <c r="O76" s="1"/>
  <c r="E29" i="20"/>
  <c r="E36" s="1"/>
  <c r="E70" s="1"/>
  <c r="R34" i="1"/>
  <c r="F29" i="20"/>
  <c r="F36" s="1"/>
  <c r="P41" i="1"/>
  <c r="Q34"/>
  <c r="Q41" s="1"/>
  <c r="Q76" s="1"/>
  <c r="R41" l="1"/>
  <c r="G36" i="20"/>
  <c r="P76" i="1"/>
  <c r="R76" s="1"/>
  <c r="G29" i="20"/>
  <c r="F70"/>
  <c r="G70" l="1"/>
  <c r="F109"/>
  <c r="F113" s="1"/>
  <c r="F114" l="1"/>
  <c r="F110"/>
  <c r="R99" i="1"/>
  <c r="P150"/>
  <c r="P183" l="1"/>
  <c r="P187" s="1"/>
  <c r="R146"/>
  <c r="Q146"/>
  <c r="Q149" s="1"/>
  <c r="O149"/>
  <c r="P184" l="1"/>
  <c r="O150"/>
  <c r="R149"/>
  <c r="P188"/>
  <c r="G74" i="20"/>
  <c r="E76"/>
  <c r="E109" l="1"/>
  <c r="G76"/>
  <c r="O183" i="1"/>
  <c r="R150"/>
  <c r="O184" l="1"/>
  <c r="R184" s="1"/>
  <c r="O187"/>
  <c r="R183"/>
  <c r="E113" i="20"/>
  <c r="E110"/>
  <c r="G110" s="1"/>
  <c r="G109"/>
  <c r="E114" l="1"/>
  <c r="G114" s="1"/>
  <c r="G113"/>
  <c r="Q187" i="1"/>
  <c r="O188"/>
  <c r="R187"/>
  <c r="Q188" l="1"/>
  <c r="R188"/>
  <c r="Q150"/>
  <c r="Q183" s="1"/>
  <c r="Q184" s="1"/>
  <c r="T150"/>
  <c r="T183" s="1"/>
  <c r="T187" l="1"/>
  <c r="T188" s="1"/>
  <c r="T184"/>
  <c r="V99"/>
  <c r="U150"/>
  <c r="U183" l="1"/>
  <c r="V183" s="1"/>
  <c r="V150"/>
  <c r="U187" l="1"/>
  <c r="V187" s="1"/>
  <c r="U184"/>
  <c r="V184" s="1"/>
  <c r="U188" l="1"/>
  <c r="V188" s="1"/>
  <c r="E5" i="21"/>
  <c r="E6" s="1"/>
  <c r="E11" s="1"/>
  <c r="E17" s="1"/>
  <c r="E21" l="1"/>
  <c r="E23" s="1"/>
  <c r="E36" l="1"/>
  <c r="E37" s="1"/>
  <c r="E39" s="1"/>
  <c r="E47"/>
  <c r="E50" s="1"/>
  <c r="E51" s="1"/>
  <c r="E40" l="1"/>
  <c r="E60"/>
  <c r="E63" s="1"/>
</calcChain>
</file>

<file path=xl/comments1.xml><?xml version="1.0" encoding="utf-8"?>
<comments xmlns="http://schemas.openxmlformats.org/spreadsheetml/2006/main">
  <authors>
    <author>Dawn Jacobson</author>
  </authors>
  <commentList>
    <comment ref="G81"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0"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<sst xmlns="http://schemas.openxmlformats.org/spreadsheetml/2006/main" count="560" uniqueCount="427">
  <si>
    <t>Income</t>
  </si>
  <si>
    <t>Envelope Giving</t>
  </si>
  <si>
    <t>Easter Offerings</t>
  </si>
  <si>
    <t>Thanksgiving Offerings</t>
  </si>
  <si>
    <t>Christmas Offerings</t>
  </si>
  <si>
    <t>Lenten Offerings</t>
  </si>
  <si>
    <t>Total Envelope Giving</t>
  </si>
  <si>
    <t>Misc Income</t>
  </si>
  <si>
    <t>Loose Offerings</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</si>
  <si>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</si>
  <si>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</si>
  <si>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</si>
  <si>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</si>
  <si>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</si>
  <si>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</si>
  <si>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</si>
  <si>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</si>
  <si>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</si>
  <si>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</si>
  <si>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</si>
  <si>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</si>
  <si>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</si>
  <si>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</si>
  <si>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</si>
  <si>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</si>
  <si>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</si>
  <si>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</si>
  <si>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</si>
  <si>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</si>
  <si>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</si>
  <si>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</si>
  <si>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</si>
  <si>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</si>
  <si>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</si>
  <si>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</si>
  <si>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</si>
  <si>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</si>
  <si>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</si>
  <si>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</si>
  <si>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</si>
  <si>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</si>
  <si>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</si>
  <si>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Pension/Insurance</t>
  </si>
  <si>
    <t>Supplemental Insurance</t>
  </si>
  <si>
    <t>Continuing Education</t>
  </si>
  <si>
    <t>Salary</t>
  </si>
  <si>
    <t>Travel Expense</t>
  </si>
  <si>
    <t>Youth Assistant</t>
  </si>
  <si>
    <t>Total Youth Director</t>
  </si>
  <si>
    <t>Dental Premium</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</si>
  <si>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</si>
  <si>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</si>
  <si>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</si>
  <si>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</si>
  <si>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</si>
  <si>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</si>
  <si>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</si>
  <si>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</si>
  <si>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</si>
  <si>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</si>
  <si>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</si>
  <si>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</si>
  <si>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</si>
  <si>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</si>
  <si>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</si>
  <si>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</si>
  <si>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</si>
  <si>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</si>
  <si>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</si>
  <si>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</si>
  <si>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</si>
  <si>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</si>
  <si>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</si>
  <si>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</si>
  <si>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</si>
  <si>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</si>
  <si>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</si>
  <si>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</si>
  <si>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</si>
  <si>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</si>
  <si>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</si>
  <si>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</si>
  <si>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</si>
  <si>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</si>
  <si>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</si>
  <si>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</si>
  <si>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</si>
  <si>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</si>
  <si>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</si>
  <si>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</si>
  <si>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</si>
  <si>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</si>
  <si>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</si>
  <si>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</si>
  <si>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</si>
  <si>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</si>
  <si>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</si>
  <si>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</si>
  <si>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</si>
  <si>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</si>
  <si>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</si>
  <si>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Financial Secretary</t>
  </si>
  <si>
    <t>Maint.  Supplies</t>
  </si>
  <si>
    <t>Salary Calc Estimate</t>
  </si>
  <si>
    <t>Staff Contingency</t>
  </si>
  <si>
    <t>Maintenance Contracts</t>
  </si>
  <si>
    <t>Other Benefits and taxes</t>
  </si>
  <si>
    <t>Increase for Staff</t>
  </si>
  <si>
    <t>Increase for Music</t>
  </si>
  <si>
    <t>Total Staff</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</si>
  <si>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</si>
  <si>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</si>
  <si>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</si>
  <si>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</si>
  <si>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</si>
  <si>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</si>
  <si>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</si>
  <si>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</si>
  <si>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</si>
  <si>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</si>
  <si>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</si>
  <si>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</si>
  <si>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Deacon</t>
  </si>
  <si>
    <t>Projectionist</t>
  </si>
  <si>
    <t>Organ/Piano Maintenance</t>
  </si>
  <si>
    <t>Same as last year</t>
  </si>
  <si>
    <t>Sames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</si>
  <si>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</si>
  <si>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</si>
  <si>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</si>
  <si>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</si>
  <si>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</si>
  <si>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</si>
  <si>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</si>
  <si>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</si>
  <si>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</si>
  <si>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</si>
  <si>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</si>
  <si>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</si>
  <si>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</si>
  <si>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Sames as last year.  Copy paper reduction.  Less announcements/printing, etc.  Per Janice, we will need additional color printing in 2017 for key communication</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</si>
  <si>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</si>
  <si>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</si>
  <si>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</si>
  <si>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Reimbursement for out-of pocket medical expenses that are not covered under spouse's medical insurance.  (Regular salary time only:  July - Dec)</t>
  </si>
  <si>
    <t>Dental Premium is not needed for 2017</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</si>
  <si>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</si>
  <si>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</si>
  <si>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</si>
  <si>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</si>
  <si>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</si>
  <si>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</si>
  <si>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 xml:space="preserve">Jan - June:  Kara Baylor:  2 Sundays/month and some visitation ($200/Sunday for 13 Sundays - current supply  pastor rate).  Diane Tetrault:  Bible Study, Shut-ins and some preaching ($400 per month for 6 months) </t>
  </si>
  <si>
    <t>6 months of transition salary ($7,195.75) plus 6 months at 2016 rate.  Readdress in July Janice's pay</t>
  </si>
  <si>
    <t>2% increase:  (Current hourly rate of $14.42*(1+0.02) = $14.78/hour at 20 hours per week for 52 weeks (should cover any needed hours over 20 in business times).  Last year we assumed $14.28/hour for 17 hours at 52 weeks</t>
  </si>
  <si>
    <t>On budget of $702/month effective October 2016.  Currently saved $362.  Announced 16% increase in costs</t>
  </si>
  <si>
    <t>Annual Monitoring Fee is $21.95/month paid once a year….plus additional keys</t>
  </si>
  <si>
    <t>New phone was purchased for Dori in 2016 resulting in $137/month for Janice &amp; Dori (was $159/month).  Suggest additioan $80/month for new Pastor phone and $150 for new phone plus small additioanl for contingency and/or rate adjustment</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</si>
  <si>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</si>
  <si>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</si>
  <si>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</si>
  <si>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</si>
  <si>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</si>
  <si>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</si>
  <si>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</si>
  <si>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</si>
  <si>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</si>
  <si>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</si>
  <si>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</si>
  <si>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</si>
  <si>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Total Deacon</t>
  </si>
  <si>
    <t>Senior Pastor</t>
  </si>
  <si>
    <t>Total Senior Pastor</t>
  </si>
  <si>
    <t>Facilities Maintenance</t>
  </si>
  <si>
    <t>Holden and Hymn Services</t>
  </si>
  <si>
    <t>As requested.</t>
  </si>
  <si>
    <t>Operating Expenses</t>
  </si>
  <si>
    <t>Band Subs</t>
  </si>
  <si>
    <t>Dori Rossmann</t>
  </si>
  <si>
    <t>J. Sodke</t>
  </si>
  <si>
    <t>J. Sensig</t>
  </si>
  <si>
    <t>Dee Bliss</t>
  </si>
  <si>
    <t>Chuck Petrach</t>
  </si>
  <si>
    <t>% chg</t>
  </si>
  <si>
    <t>Avg Hrs/Wk</t>
  </si>
  <si>
    <t>$/hr</t>
  </si>
  <si>
    <t>Hourly</t>
  </si>
  <si>
    <t>Budget Year</t>
  </si>
  <si>
    <t># Wk/Yr</t>
  </si>
  <si>
    <t>$200/Sunday for 10 weeks</t>
  </si>
  <si>
    <t>Parish Secretary</t>
  </si>
  <si>
    <t>Target is to have expenses no greater than the estimated envelope giving.</t>
  </si>
  <si>
    <t>Director of Youth Ministry</t>
  </si>
  <si>
    <t>Lead Pastor</t>
  </si>
  <si>
    <t>Operating Income (Envelope Giving)</t>
  </si>
  <si>
    <t>Net Operating Income/(Loss)</t>
  </si>
  <si>
    <t>2018:  Lower per Deacon Janice's recommendation (email 11/14/17)</t>
  </si>
  <si>
    <t>Need to add this back</t>
  </si>
  <si>
    <t>Housing</t>
  </si>
  <si>
    <t>Elected</t>
  </si>
  <si>
    <t>Total</t>
  </si>
  <si>
    <t>Per Compensation Package</t>
  </si>
  <si>
    <t xml:space="preserve">Per Compensation Package.     </t>
  </si>
  <si>
    <t>Pension</t>
  </si>
  <si>
    <t>Other Insurance</t>
  </si>
  <si>
    <t>Medical &amp; Dental Insurance</t>
  </si>
  <si>
    <t>Disability</t>
  </si>
  <si>
    <t>Group Life</t>
  </si>
  <si>
    <t>Retiree</t>
  </si>
  <si>
    <t>For 2018, Pastor Pahl has choosen to waive both Medical and Dental coverage.</t>
  </si>
  <si>
    <t>Medical/Dental premium
     Allowance</t>
  </si>
  <si>
    <t>Synod COLA</t>
  </si>
  <si>
    <t>Disability, Group Life, and Retiree Support</t>
  </si>
  <si>
    <t>Salary and Housing</t>
  </si>
  <si>
    <t>J. Nelson plus others.</t>
  </si>
  <si>
    <t>2017 was 11% for Pension, in 2018 it is 12% plus Disability, Basic Group Life and Retiree Support.</t>
  </si>
  <si>
    <t>% of Year</t>
  </si>
  <si>
    <t>Insurance Provision</t>
  </si>
  <si>
    <t>Operating Expenses unexpectedly exceed Income (Income shortfall).  Finance Committee approves and takes recommendation to the Excutive Council.</t>
  </si>
  <si>
    <t>Unforeseen Health Care changes.  Finance Committee Approves and takes recommendation to the Executive Council.</t>
  </si>
  <si>
    <t>Supply Pastor(s)</t>
  </si>
  <si>
    <t>Total Supply Pastor(s)</t>
  </si>
  <si>
    <t>Staff Salary and Wages*</t>
  </si>
  <si>
    <t>*    Includes salary increases which will be distributed based on annual performance reviews.</t>
  </si>
  <si>
    <t>2018:  75% Deacon plus 2% and 25% Lead Pastor Salary</t>
  </si>
  <si>
    <t>Internship</t>
  </si>
  <si>
    <t>Parish/Finance Secretary</t>
  </si>
  <si>
    <t>Communications Secretary</t>
  </si>
  <si>
    <t>Finance Secretary Temp</t>
  </si>
  <si>
    <t>Pastor Transition</t>
  </si>
  <si>
    <t>Requested was $2,000 for new curriculum being order (over 2 years - last year and this year) $1,200, Carnival $200, Bibles $0, Christmas Program $350, and CLC $250.</t>
  </si>
  <si>
    <t>Purchasing books to coincide with Sunday School lessons to supplement teachings.  2018 actuals was $500.  Congregation member made donation to get library back to budget.</t>
  </si>
  <si>
    <t>Requested total of $200 for Cake and Materials $100 and Curriculum $100.</t>
  </si>
  <si>
    <t>Requested was Materials $200</t>
  </si>
  <si>
    <t>Requested $750 for materials.</t>
  </si>
  <si>
    <t>Youth Night Food &amp; Projects $7,208, Fright Fest $500, Winter Retreat $292, Winter Retreat Bus $300, Mission Trip 4 Chaperones $4,000 (combined middle/high school trip), 2 Lock-ins $500 (Food and Community service project).</t>
  </si>
  <si>
    <t>Intern</t>
  </si>
  <si>
    <t>Total Intern</t>
  </si>
  <si>
    <r>
      <t xml:space="preserve">2019:  Requested $1,000 in total for Gowns $200, Breakfast $350, Cake $50, Pictures $200, Flowers $100 and Gifts $100.  </t>
    </r>
    <r>
      <rPr>
        <b/>
        <sz val="11"/>
        <color rgb="FFFF0000"/>
        <rFont val="Calibri"/>
        <family val="2"/>
        <scheme val="minor"/>
      </rPr>
      <t xml:space="preserve">Expecting 10-12 Confirmants.  2018:  Requested was $1,400 for 13 Confirmants but actual is on 8 confirmants for 2018.  </t>
    </r>
  </si>
  <si>
    <t>Summer Bible School</t>
  </si>
  <si>
    <t>2019:  Moved RIC Ad $250 to Benevolance and removed the tree.  Requested $750 in total for for Racine Interfaith Coalition advertising of $250, Native Preserve Tree $300, August Night out (Food) $200.  Tree and Night out are new requests this year.</t>
  </si>
  <si>
    <t>2019 Assembly will be in Milwaukee.  Assumes 3 congregation members plus Pastor.   Includes session cost and mileage.</t>
  </si>
  <si>
    <t>Assumes 2 mailings.</t>
  </si>
  <si>
    <t>2019 Request (Jim Sodke):  Choir Piano (2 times) and 3 other pianos (1 time) at $75/each time.  Grand Piano (3 times) at $150 each.  Organ Tuning (1 time) at 750.   Total $1,575.  Includes rate increase and/or minor repairs.</t>
  </si>
  <si>
    <t>Pastor:  Synod increase recommendation is 2% for 2019</t>
  </si>
  <si>
    <t>Deb Toff - back up for Cheryl.  2018 also included transition costs.</t>
  </si>
  <si>
    <t>Switched to Specrum and purchased 7 new phones (needed 5 but bought 2 extra for backup).  Needed 2 office, Pastor, Intern, and Marc/Cherly office).</t>
  </si>
  <si>
    <t>2018 high due to issues with the security.</t>
  </si>
  <si>
    <t>2019:  14% increase per Jay.  
2018:  Nationwide:  Commercial Umbrella, Commercial Property, Crime and General Liability.  Annual premium confirmed by Jay W. for 2018</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</si>
  <si>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</si>
  <si>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</si>
  <si>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</si>
  <si>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</si>
  <si>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</si>
  <si>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</si>
  <si>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Portion of Medical/Vision/Dental Elected to go into Salary</t>
  </si>
  <si>
    <t>SS Allowance %</t>
  </si>
  <si>
    <t>SS Tax</t>
  </si>
  <si>
    <t>Total Defined Comp.</t>
  </si>
  <si>
    <t>Health/Dental/Vision Difference</t>
  </si>
  <si>
    <t>Gross up</t>
  </si>
  <si>
    <t>Annually</t>
  </si>
  <si>
    <t>Health Premium Allowance</t>
  </si>
  <si>
    <t>To Salary</t>
  </si>
  <si>
    <t>To Pension</t>
  </si>
  <si>
    <t>Health Premium Allowance:</t>
  </si>
  <si>
    <t>Pension at 11%</t>
  </si>
  <si>
    <t>Health Premium Allow added to Pension</t>
  </si>
  <si>
    <t>Total Pension</t>
  </si>
  <si>
    <t>Budgeted</t>
  </si>
  <si>
    <t>Defined Comp.</t>
  </si>
  <si>
    <t>2019 Budget:  Exclude Pastor Salary for FICA/MED as this is included in her section.</t>
  </si>
  <si>
    <t>2019:  Requested $750 in total for Curriculum $500 (on-line cirriculum is $500 annually), and Materials $250.  They are looking at options with other Churches.  Increase is to support the 5 week summer program.
2018:  No Vacation Bible School in 2018.</t>
  </si>
  <si>
    <t>No requested budget was received.</t>
  </si>
  <si>
    <t>Move to separate staffing area.</t>
  </si>
  <si>
    <t>Trending higher than budget in 2018</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</si>
  <si>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</si>
  <si>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</si>
  <si>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</si>
  <si>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</si>
  <si>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</si>
  <si>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</si>
  <si>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</si>
  <si>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</si>
  <si>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</si>
  <si>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</si>
  <si>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</si>
  <si>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</si>
  <si>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</si>
  <si>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</si>
  <si>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</si>
  <si>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</si>
  <si>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</si>
  <si>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Per Compensation Package.  This excludes the $500 that is included for Sysnod Assembly (budgeted under Misc Programs).</t>
  </si>
  <si>
    <t>Includes Base Salary, Housing, FICA (Church Share only), and Portion of Premium Allowance</t>
  </si>
  <si>
    <t>Additional Out of pocket differences</t>
  </si>
  <si>
    <t xml:space="preserve">    Sub-total</t>
  </si>
  <si>
    <t xml:space="preserve">Total:  </t>
  </si>
  <si>
    <t>2018:  Nursery heating, Roof drains, kitchen sidewalk, Requested $8,000 for general wear/tear and $12,000 for parking lot (included in Facilities Fund Reserve).
2018:  Actuals include nursery radiator at $2,000 (not budgeted).</t>
  </si>
  <si>
    <t>True Emergency issues.  Approved by Executive Council only (Communicate with Finance Committee afterwards)</t>
  </si>
  <si>
    <t>2019:  Includes $12,000 for Parking Lot.  Large Building and grounds needs for facility up-keep.  Finance Committee Approves and takes recommedation to the Council BEFORE Spending can occur.</t>
  </si>
  <si>
    <t>Fees to Seminary</t>
  </si>
  <si>
    <t>$500 Cluster Meeting, $500 Travel Pool, and $1,000 Admin. Fee</t>
  </si>
  <si>
    <t>This is the church's portion of SS.  It is not included in calculation line "Church - FICA/MED"</t>
  </si>
  <si>
    <t>Prorated the Sept YTD $2,538/9*12 = $3,384</t>
  </si>
  <si>
    <t>Start Jan. 16, 2018</t>
  </si>
  <si>
    <t>$40/Month.</t>
  </si>
  <si>
    <t>Dori's cell phone - 2 year contract beginning 11/7/18</t>
  </si>
  <si>
    <t>Jay will communication to Church &amp; Society that the RIC adv $ will be part of Benevolance and tree is not funded.</t>
  </si>
  <si>
    <t>2019:  Heather new computer  Kim/Cheryl new computer 11/2016 and Janice got a new printer also.</t>
  </si>
  <si>
    <t>Marc Henkel:  2018 is over spent.   2017 is over spent.  New Coffee Maker at $105 was part. They need to stay at budget.  Youth night and funeral, etc for plates/cups/napkins</t>
  </si>
  <si>
    <t>Cell Phone $40/Month</t>
  </si>
  <si>
    <t>Includes Pastor, Dori, Custodians, Heather for 2019 add Cheryl in 2020</t>
  </si>
  <si>
    <t>Cheryl</t>
  </si>
  <si>
    <t>Non Salary/Benefets/Tax costs</t>
  </si>
  <si>
    <t>2019:  Estimate per Jay;  $600 Vanco, $996 Johnson Bank (Per month:  $20 Online Banking, $40 Remote Deposit, $15 ACH Module and $8/transaction over 250 Transactions…Estimated $83/Month) and $85 for Safty Deposit Box….Round up to $1,700</t>
  </si>
  <si>
    <t>Current 2019 Budget</t>
  </si>
  <si>
    <t>New Proposal 2019 Budget</t>
  </si>
  <si>
    <t>Director of Contemporary Worship</t>
  </si>
  <si>
    <t>Sound payments</t>
  </si>
  <si>
    <t>From Worship Supplies</t>
  </si>
  <si>
    <t>Total Sound Budget</t>
  </si>
  <si>
    <t>$ Remaining</t>
  </si>
  <si>
    <t>Projectionist:</t>
  </si>
  <si>
    <t>Total Performance Events</t>
  </si>
  <si>
    <t xml:space="preserve">     Revelation Band Perform for Advent</t>
  </si>
  <si>
    <t xml:space="preserve">     Revelation Band Perform for Lent</t>
  </si>
  <si>
    <t>Additional Performance Events:</t>
  </si>
  <si>
    <t>2019 Calendar of Sundays/Special Days</t>
  </si>
  <si>
    <t xml:space="preserve"> </t>
  </si>
  <si>
    <t>Total Sundays</t>
  </si>
  <si>
    <t>May</t>
  </si>
  <si>
    <t>June</t>
  </si>
  <si>
    <t>July</t>
  </si>
  <si>
    <t>Sept</t>
  </si>
  <si>
    <t>Jan</t>
  </si>
  <si>
    <t>Feb</t>
  </si>
  <si>
    <t>Mar</t>
  </si>
  <si>
    <t>Apr</t>
  </si>
  <si>
    <t>Aug</t>
  </si>
  <si>
    <t>Oct</t>
  </si>
  <si>
    <t>Nov</t>
  </si>
  <si>
    <t>Dec</t>
  </si>
  <si>
    <t>Advent (Wednesdays)</t>
  </si>
  <si>
    <t>Lent (Wednesdays)</t>
  </si>
  <si>
    <t>Christmas is on Tuesday</t>
  </si>
  <si>
    <t>Memorial Day (May 27) - Labor Day (Sept 2)</t>
  </si>
  <si>
    <t>Summer Weeks</t>
  </si>
  <si>
    <t>Don't Play for Advent</t>
  </si>
  <si>
    <t>Play All Lent Wednesdays</t>
  </si>
  <si>
    <t>Total Practice Pay</t>
  </si>
  <si>
    <t xml:space="preserve">    Pay per Practice per Person</t>
  </si>
  <si>
    <t xml:space="preserve">    Pay per Preformance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</si>
  <si>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</si>
  <si>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</si>
  <si>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</si>
  <si>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</si>
  <si>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</si>
  <si>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</si>
  <si>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</si>
  <si>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</si>
  <si>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</si>
  <si>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</si>
  <si>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</si>
  <si>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</si>
  <si>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</si>
  <si>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</si>
  <si>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</si>
  <si>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</si>
  <si>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</si>
  <si>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</si>
  <si>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</si>
  <si>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</si>
  <si>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</si>
  <si>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</si>
  <si>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</si>
  <si>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</si>
  <si>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</si>
  <si>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2019 Budget Worksheet</t>
  </si>
  <si>
    <t>Excludes Summer Outside Services</t>
  </si>
  <si>
    <t xml:space="preserve">     Number of Projectionist People per event</t>
  </si>
  <si>
    <t>In 2018 we budgeted for 7 members</t>
  </si>
  <si>
    <t>Less than 2018 due to only 6 members</t>
  </si>
  <si>
    <t>Total Summer/Sub Band</t>
  </si>
  <si>
    <t>Revelation Band, Summer/Sub Band and Equip. Set up, Sound Support, and Projectionist</t>
  </si>
  <si>
    <t xml:space="preserve">     Pay per Equipment set up</t>
  </si>
  <si>
    <t xml:space="preserve">     Number of Summer Equip. set up people</t>
  </si>
  <si>
    <t>Total Summer Equipment set up</t>
  </si>
  <si>
    <t>Total Summer/Sub Band and Equip. set up</t>
  </si>
  <si>
    <t>L. Jacobson (this includes the previous $900 2017/18 Budget for Yout Choir Assistant)</t>
  </si>
  <si>
    <t>L. Jacobson (moved in 2018/19 budget to the Director of Contemporary Worship line)</t>
  </si>
  <si>
    <t>Total Sundays (excluding Summer Weeks)</t>
  </si>
  <si>
    <t>This is for preparing the music and does not include practice or performance of music.  It includes the funding for the Youth Choir Assistant ($900)  but does not include performance or practices</t>
  </si>
  <si>
    <t>In 2017/18 budget was $1,000 under worship supplies</t>
  </si>
  <si>
    <t>Average per year</t>
  </si>
  <si>
    <t>Sound Support</t>
  </si>
  <si>
    <t>2018:  Was included in Revelation Band</t>
  </si>
  <si>
    <t>2019:  Requested $5,000 but included $1,000 for Sound Support payments which was moved to the new Sound Support line.</t>
  </si>
  <si>
    <t>2019:  Paid by $50 per person and includes Equipment set up of $25 per person.  2018:  25% of the year substitute for Revelation Band.  Includes 2% increase.</t>
  </si>
  <si>
    <t>SUMMER/SUB BAND AND EQUIP. SET UP:</t>
  </si>
  <si>
    <t>Pool $</t>
  </si>
  <si>
    <t>Staff</t>
  </si>
  <si>
    <t>Music</t>
  </si>
  <si>
    <t>Summer/Sub Bands and Equip. Set up</t>
  </si>
  <si>
    <t>Pay Rates for 2019</t>
  </si>
  <si>
    <t>Lutheran Church of the Ressurrection</t>
  </si>
  <si>
    <t>Note for 2020:  Add 3 members for Christmas Service and ?</t>
  </si>
  <si>
    <t>This Does NOT include the Sound Support.  Sound Support is separate.  Lynette is to turn in by name who attended practise and who played at Sunday service each week.</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</si>
  <si>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</si>
  <si>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</si>
  <si>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</si>
  <si>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</si>
  <si>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</si>
  <si>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Parish/Finance Secreetary</t>
  </si>
  <si>
    <t>Lead Custodian - Mark</t>
  </si>
  <si>
    <t>Custodian - Rebecca</t>
  </si>
  <si>
    <t>Custodian - New</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</si>
  <si>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</si>
  <si>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</si>
  <si>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</si>
  <si>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</si>
  <si>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</si>
  <si>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</si>
  <si>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</si>
  <si>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Dec YTD Actual</t>
  </si>
  <si>
    <t>Dec YTD Budget</t>
  </si>
  <si>
    <t>Advent Envelopes</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</si>
</sst>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s>
  <fonts count="29">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1">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164" fontId="2" fillId="0" borderId="9"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43" fontId="0" fillId="0" borderId="0" xfId="3" applyFont="1" applyAlignment="1">
      <alignment vertical="center"/>
    </xf>
    <xf numFmtId="164" fontId="13" fillId="8" borderId="0" xfId="1" applyNumberFormat="1" applyFont="1" applyFill="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1" fillId="0" borderId="0" xfId="1" applyNumberFormat="1" applyFont="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8"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10" fontId="15" fillId="11" borderId="26" xfId="2" applyNumberFormat="1" applyFont="1" applyFill="1" applyBorder="1" applyAlignment="1">
      <alignment horizontal="center"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9" fontId="15" fillId="11" borderId="29" xfId="0" applyNumberFormat="1" applyFont="1" applyFill="1" applyBorder="1" applyAlignment="1">
      <alignment vertical="center"/>
    </xf>
    <xf numFmtId="5" fontId="2" fillId="11" borderId="29" xfId="0" applyNumberFormat="1" applyFont="1" applyFill="1" applyBorder="1" applyAlignment="1">
      <alignment horizontal="right" vertical="center"/>
    </xf>
    <xf numFmtId="0" fontId="0" fillId="11" borderId="9" xfId="0" applyFill="1" applyBorder="1" applyAlignment="1">
      <alignmen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0" xfId="0" applyFont="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0" fillId="7" borderId="25" xfId="0" applyFill="1" applyBorder="1" applyAlignment="1">
      <alignment vertical="center"/>
    </xf>
    <xf numFmtId="0" fontId="0" fillId="7" borderId="0" xfId="0" applyFill="1" applyBorder="1" applyAlignment="1">
      <alignment vertical="center"/>
    </xf>
    <xf numFmtId="0" fontId="0" fillId="7" borderId="26" xfId="0" applyFill="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5" fontId="2" fillId="11" borderId="26" xfId="0" applyNumberFormat="1" applyFont="1" applyFill="1" applyBorder="1" applyAlignment="1">
      <alignment vertical="center"/>
    </xf>
    <xf numFmtId="165" fontId="0" fillId="11" borderId="10" xfId="2"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5" fontId="0" fillId="0" borderId="8" xfId="0" applyNumberFormat="1" applyFill="1" applyBorder="1" applyAlignment="1">
      <alignment vertical="center"/>
    </xf>
    <xf numFmtId="5" fontId="0" fillId="0" borderId="10" xfId="0" applyNumberFormat="1" applyFill="1" applyBorder="1" applyAlignment="1">
      <alignmen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5" fontId="2" fillId="0" borderId="26" xfId="0" applyNumberFormat="1" applyFont="1" applyFill="1" applyBorder="1" applyAlignment="1">
      <alignment vertical="center"/>
    </xf>
    <xf numFmtId="5" fontId="8" fillId="0" borderId="26" xfId="0" applyNumberFormat="1" applyFont="1" applyFill="1" applyBorder="1" applyAlignment="1">
      <alignment vertical="center"/>
    </xf>
    <xf numFmtId="165" fontId="0" fillId="0" borderId="8" xfId="2"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5" fontId="0" fillId="11" borderId="10" xfId="0" applyNumberFormat="1" applyFill="1" applyBorder="1" applyAlignment="1">
      <alignmen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5" fontId="15" fillId="7" borderId="29" xfId="0" applyNumberFormat="1" applyFont="1" applyFill="1" applyBorder="1" applyAlignment="1">
      <alignment vertical="center"/>
    </xf>
    <xf numFmtId="5" fontId="15" fillId="7" borderId="26" xfId="0" applyNumberFormat="1"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2" fillId="0" borderId="32" xfId="1" applyNumberFormat="1" applyFont="1" applyFill="1" applyBorder="1" applyAlignment="1">
      <alignment horizontal="left" vertical="center" wrapText="1"/>
    </xf>
    <xf numFmtId="164" fontId="15" fillId="0" borderId="42" xfId="1" applyNumberFormat="1" applyFont="1" applyFill="1" applyBorder="1" applyAlignment="1">
      <alignment vertical="center"/>
    </xf>
    <xf numFmtId="164" fontId="15" fillId="0" borderId="33" xfId="1" applyNumberFormat="1" applyFont="1" applyFill="1" applyBorder="1" applyAlignment="1">
      <alignment vertical="center" wrapText="1"/>
    </xf>
    <xf numFmtId="164" fontId="15" fillId="0" borderId="43" xfId="1" applyNumberFormat="1" applyFont="1" applyFill="1" applyBorder="1" applyAlignment="1">
      <alignment vertical="center"/>
    </xf>
    <xf numFmtId="9" fontId="15" fillId="0" borderId="33" xfId="2" applyFont="1" applyBorder="1" applyAlignment="1">
      <alignment horizontal="center" vertical="center"/>
    </xf>
    <xf numFmtId="164" fontId="1" fillId="0" borderId="34" xfId="1" applyNumberFormat="1" applyFont="1" applyFill="1" applyBorder="1" applyAlignment="1">
      <alignment horizontal="left" vertical="center" wrapText="1"/>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6" xfId="1" applyNumberFormat="1" applyFont="1" applyFill="1" applyBorder="1" applyAlignment="1">
      <alignment horizontal="center" vertical="center"/>
    </xf>
    <xf numFmtId="37" fontId="15" fillId="0" borderId="32" xfId="1" applyNumberFormat="1" applyFont="1" applyFill="1" applyBorder="1" applyAlignment="1">
      <alignment horizontal="center" vertical="center"/>
    </xf>
    <xf numFmtId="165" fontId="7" fillId="0" borderId="32" xfId="2" applyNumberFormat="1" applyFont="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32" xfId="1" applyNumberFormat="1" applyFont="1" applyBorder="1" applyAlignment="1">
      <alignment horizontal="left" vertical="center" wrapText="1"/>
    </xf>
    <xf numFmtId="164" fontId="0" fillId="0" borderId="3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0" fillId="0" borderId="34" xfId="1" applyNumberFormat="1" applyFont="1" applyFill="1" applyBorder="1" applyAlignment="1">
      <alignment vertical="center" wrapText="1"/>
    </xf>
    <xf numFmtId="12" fontId="7" fillId="0" borderId="32" xfId="1"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Border="1" applyAlignment="1">
      <alignment vertical="center"/>
    </xf>
    <xf numFmtId="5" fontId="15" fillId="0" borderId="0" xfId="1" applyNumberFormat="1" applyFont="1" applyAlignment="1">
      <alignment vertical="center"/>
    </xf>
    <xf numFmtId="0" fontId="2" fillId="0" borderId="0" xfId="0" applyFont="1" applyFill="1" applyAlignment="1">
      <alignment vertical="center"/>
    </xf>
    <xf numFmtId="5" fontId="13" fillId="0" borderId="0" xfId="1" applyNumberFormat="1" applyFont="1" applyFill="1" applyAlignment="1">
      <alignment vertical="center"/>
    </xf>
    <xf numFmtId="0" fontId="15" fillId="0" borderId="0" xfId="0" applyFont="1" applyBorder="1" applyAlignment="1">
      <alignment vertical="center"/>
    </xf>
    <xf numFmtId="0" fontId="7" fillId="0" borderId="0"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53" xfId="0" applyBorder="1" applyAlignment="1">
      <alignment vertical="center"/>
    </xf>
    <xf numFmtId="5" fontId="15" fillId="0" borderId="8" xfId="1" applyNumberFormat="1" applyFont="1" applyBorder="1" applyAlignment="1">
      <alignment vertical="center"/>
    </xf>
    <xf numFmtId="5" fontId="15" fillId="0" borderId="0" xfId="1" applyNumberFormat="1" applyFont="1" applyBorder="1" applyAlignment="1">
      <alignment horizontal="right" vertical="center"/>
    </xf>
    <xf numFmtId="5" fontId="15" fillId="0" borderId="8" xfId="1" applyNumberFormat="1" applyFont="1" applyBorder="1" applyAlignment="1">
      <alignment horizontal="right" vertical="center"/>
    </xf>
    <xf numFmtId="0" fontId="15" fillId="0" borderId="6"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0" fillId="0" borderId="8" xfId="0" applyBorder="1" applyAlignment="1">
      <alignment horizontal="right" vertical="center"/>
    </xf>
    <xf numFmtId="5" fontId="7" fillId="0" borderId="6" xfId="1" applyNumberFormat="1" applyFont="1" applyBorder="1" applyAlignment="1">
      <alignment vertical="center"/>
    </xf>
    <xf numFmtId="5" fontId="7" fillId="0" borderId="0" xfId="1" applyNumberFormat="1" applyFont="1" applyBorder="1" applyAlignment="1">
      <alignment vertical="center"/>
    </xf>
    <xf numFmtId="0" fontId="0" fillId="0" borderId="0" xfId="0" applyBorder="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2" fillId="11" borderId="58" xfId="0" applyFont="1" applyFill="1" applyBorder="1" applyAlignment="1">
      <alignment vertical="center"/>
    </xf>
    <xf numFmtId="5" fontId="8" fillId="11" borderId="58" xfId="1" applyNumberFormat="1" applyFont="1" applyFill="1" applyBorder="1" applyAlignment="1">
      <alignment vertical="center"/>
    </xf>
    <xf numFmtId="0" fontId="0" fillId="11" borderId="58" xfId="0" applyFill="1" applyBorder="1" applyAlignment="1">
      <alignment vertical="center"/>
    </xf>
    <xf numFmtId="0" fontId="0" fillId="11" borderId="59" xfId="0" applyFill="1" applyBorder="1" applyAlignment="1">
      <alignment vertical="center"/>
    </xf>
    <xf numFmtId="0" fontId="2" fillId="11" borderId="60" xfId="0" applyFont="1" applyFill="1" applyBorder="1" applyAlignment="1">
      <alignment vertical="center"/>
    </xf>
    <xf numFmtId="0" fontId="0" fillId="11" borderId="61" xfId="0" applyFill="1" applyBorder="1" applyAlignment="1">
      <alignment vertical="center"/>
    </xf>
    <xf numFmtId="0" fontId="0" fillId="11" borderId="62" xfId="0" applyFill="1" applyBorder="1" applyAlignment="1">
      <alignment vertical="center"/>
    </xf>
    <xf numFmtId="0" fontId="7" fillId="0" borderId="0" xfId="0" applyFont="1" applyBorder="1" applyAlignment="1">
      <alignment horizontal="right" vertical="center"/>
    </xf>
    <xf numFmtId="0" fontId="0" fillId="0" borderId="0" xfId="0" quotePrefix="1" applyFill="1" applyBorder="1" applyAlignment="1">
      <alignment vertical="center"/>
    </xf>
    <xf numFmtId="0" fontId="0" fillId="0" borderId="63" xfId="0" applyBorder="1" applyAlignment="1">
      <alignment vertical="center"/>
    </xf>
    <xf numFmtId="0" fontId="7" fillId="0" borderId="64" xfId="0" applyFont="1" applyBorder="1" applyAlignment="1">
      <alignment horizontal="right" vertical="center"/>
    </xf>
    <xf numFmtId="0" fontId="0" fillId="0" borderId="64" xfId="0" applyBorder="1" applyAlignment="1">
      <alignment vertical="center"/>
    </xf>
    <xf numFmtId="0" fontId="0" fillId="0" borderId="64" xfId="0" quotePrefix="1" applyFill="1" applyBorder="1" applyAlignment="1">
      <alignment vertical="center"/>
    </xf>
    <xf numFmtId="0" fontId="0" fillId="0" borderId="65" xfId="0" applyBorder="1" applyAlignment="1">
      <alignment vertical="center"/>
    </xf>
    <xf numFmtId="0" fontId="0" fillId="0" borderId="8" xfId="0" quotePrefix="1" applyFill="1" applyBorder="1" applyAlignment="1">
      <alignment vertical="center"/>
    </xf>
    <xf numFmtId="0" fontId="0" fillId="0" borderId="53" xfId="0" applyFill="1" applyBorder="1" applyAlignment="1">
      <alignment vertical="center"/>
    </xf>
    <xf numFmtId="0" fontId="15" fillId="0" borderId="0" xfId="0" applyFont="1" applyFill="1" applyBorder="1" applyAlignment="1">
      <alignment horizontal="right" vertical="center"/>
    </xf>
    <xf numFmtId="0" fontId="0" fillId="0" borderId="51" xfId="0" applyFill="1" applyBorder="1" applyAlignment="1">
      <alignment vertical="center"/>
    </xf>
    <xf numFmtId="0" fontId="2" fillId="0" borderId="68" xfId="0" applyFont="1" applyFill="1" applyBorder="1" applyAlignment="1">
      <alignment vertical="center"/>
    </xf>
    <xf numFmtId="0" fontId="2" fillId="11" borderId="66" xfId="0" applyFont="1" applyFill="1" applyBorder="1" applyAlignment="1">
      <alignment vertical="center"/>
    </xf>
    <xf numFmtId="5" fontId="8" fillId="11" borderId="66" xfId="1" applyNumberFormat="1" applyFont="1" applyFill="1" applyBorder="1" applyAlignment="1">
      <alignment vertical="center"/>
    </xf>
    <xf numFmtId="0" fontId="0" fillId="11" borderId="66" xfId="0" applyFill="1" applyBorder="1" applyAlignment="1">
      <alignment vertical="center"/>
    </xf>
    <xf numFmtId="0" fontId="0" fillId="11" borderId="67" xfId="0" applyFill="1" applyBorder="1" applyAlignment="1">
      <alignment vertical="center"/>
    </xf>
    <xf numFmtId="5" fontId="8" fillId="11" borderId="61" xfId="1" applyNumberFormat="1" applyFont="1" applyFill="1" applyBorder="1" applyAlignment="1">
      <alignment vertical="center"/>
    </xf>
    <xf numFmtId="5" fontId="13" fillId="11" borderId="61" xfId="1" applyNumberFormat="1" applyFont="1" applyFill="1" applyBorder="1" applyAlignment="1">
      <alignment vertical="center"/>
    </xf>
    <xf numFmtId="0" fontId="2" fillId="11" borderId="71" xfId="0" applyFont="1" applyFill="1" applyBorder="1" applyAlignment="1">
      <alignment vertical="center"/>
    </xf>
    <xf numFmtId="0" fontId="0" fillId="11" borderId="64" xfId="0" applyFill="1" applyBorder="1" applyAlignment="1">
      <alignment vertical="center"/>
    </xf>
    <xf numFmtId="0" fontId="0" fillId="11" borderId="65" xfId="0" applyFill="1" applyBorder="1" applyAlignment="1">
      <alignment vertical="center"/>
    </xf>
    <xf numFmtId="0" fontId="0" fillId="0" borderId="72" xfId="0" applyBorder="1" applyAlignment="1">
      <alignment vertical="center"/>
    </xf>
    <xf numFmtId="0" fontId="2" fillId="11" borderId="73" xfId="0" applyFont="1" applyFill="1" applyBorder="1" applyAlignment="1">
      <alignment vertical="center"/>
    </xf>
    <xf numFmtId="0" fontId="15" fillId="0" borderId="0" xfId="0" applyFont="1" applyFill="1" applyBorder="1" applyAlignment="1">
      <alignment horizontal="center" vertical="center"/>
    </xf>
    <xf numFmtId="0" fontId="0" fillId="0" borderId="73" xfId="0" applyBorder="1" applyAlignment="1">
      <alignment vertical="center"/>
    </xf>
    <xf numFmtId="0" fontId="15" fillId="0" borderId="58" xfId="0" applyFont="1" applyFill="1" applyBorder="1" applyAlignment="1">
      <alignment horizontal="center" vertical="center"/>
    </xf>
    <xf numFmtId="0" fontId="0" fillId="0" borderId="76" xfId="0"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15" fillId="0" borderId="32" xfId="0" applyFont="1" applyFill="1" applyBorder="1" applyAlignment="1">
      <alignment horizontal="center" vertical="center"/>
    </xf>
    <xf numFmtId="0" fontId="0" fillId="0" borderId="77" xfId="0" applyBorder="1" applyAlignment="1">
      <alignment vertical="center"/>
    </xf>
    <xf numFmtId="0" fontId="0" fillId="0" borderId="78" xfId="0" applyBorder="1" applyAlignment="1">
      <alignment vertical="center"/>
    </xf>
    <xf numFmtId="0" fontId="0" fillId="0" borderId="33" xfId="0" applyBorder="1" applyAlignment="1">
      <alignment vertical="center"/>
    </xf>
    <xf numFmtId="0" fontId="15" fillId="0" borderId="33" xfId="0" applyFont="1" applyFill="1" applyBorder="1" applyAlignment="1">
      <alignment horizontal="center" vertical="center"/>
    </xf>
    <xf numFmtId="0" fontId="0" fillId="0" borderId="79" xfId="0" applyBorder="1" applyAlignment="1">
      <alignment vertical="center"/>
    </xf>
    <xf numFmtId="0" fontId="0" fillId="0" borderId="80" xfId="0" applyBorder="1" applyAlignment="1">
      <alignment vertical="center"/>
    </xf>
    <xf numFmtId="0" fontId="0" fillId="0" borderId="34" xfId="0" applyBorder="1" applyAlignment="1">
      <alignment vertical="center"/>
    </xf>
    <xf numFmtId="0" fontId="15" fillId="0" borderId="34" xfId="0" applyFont="1" applyFill="1" applyBorder="1" applyAlignment="1">
      <alignment horizontal="center" vertical="center"/>
    </xf>
    <xf numFmtId="0" fontId="0" fillId="0" borderId="81"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50" xfId="0" applyFill="1" applyBorder="1" applyAlignment="1">
      <alignment vertical="center"/>
    </xf>
    <xf numFmtId="0" fontId="2" fillId="0" borderId="0" xfId="0" applyFont="1" applyBorder="1" applyAlignment="1">
      <alignment horizontal="center" vertical="center" textRotation="90" wrapText="1"/>
    </xf>
    <xf numFmtId="0" fontId="2" fillId="0" borderId="69" xfId="0" applyFont="1" applyFill="1" applyBorder="1" applyAlignment="1">
      <alignment vertical="center"/>
    </xf>
    <xf numFmtId="5" fontId="8" fillId="0" borderId="6" xfId="1" applyNumberFormat="1" applyFont="1" applyFill="1" applyBorder="1" applyAlignment="1">
      <alignment vertical="center"/>
    </xf>
    <xf numFmtId="0" fontId="0" fillId="0" borderId="18" xfId="0" applyBorder="1" applyAlignment="1">
      <alignment vertical="center"/>
    </xf>
    <xf numFmtId="0" fontId="15" fillId="0" borderId="18" xfId="0" applyFont="1" applyBorder="1" applyAlignment="1">
      <alignment horizontal="right" vertical="center"/>
    </xf>
    <xf numFmtId="0" fontId="0" fillId="0" borderId="18" xfId="0" applyFill="1" applyBorder="1" applyAlignment="1">
      <alignment vertical="center"/>
    </xf>
    <xf numFmtId="0" fontId="0" fillId="0" borderId="83" xfId="0" applyBorder="1" applyAlignment="1">
      <alignment vertical="center"/>
    </xf>
    <xf numFmtId="0" fontId="2" fillId="0" borderId="84" xfId="0" applyFont="1" applyFill="1" applyBorder="1" applyAlignment="1">
      <alignment vertical="center"/>
    </xf>
    <xf numFmtId="0" fontId="2" fillId="0" borderId="85" xfId="0" applyFont="1" applyFill="1" applyBorder="1" applyAlignment="1">
      <alignment vertical="center"/>
    </xf>
    <xf numFmtId="5" fontId="8" fillId="0" borderId="85" xfId="1" applyNumberFormat="1" applyFont="1" applyFill="1" applyBorder="1" applyAlignment="1">
      <alignment vertical="center"/>
    </xf>
    <xf numFmtId="0" fontId="0" fillId="0" borderId="85" xfId="0" applyFill="1" applyBorder="1" applyAlignment="1">
      <alignment vertical="center"/>
    </xf>
    <xf numFmtId="0" fontId="0" fillId="0" borderId="86" xfId="0" applyFill="1" applyBorder="1" applyAlignment="1">
      <alignment vertical="center"/>
    </xf>
    <xf numFmtId="164" fontId="17" fillId="0" borderId="32" xfId="1" applyNumberFormat="1" applyFont="1" applyFill="1" applyBorder="1" applyAlignment="1">
      <alignment horizontal="center" vertical="center"/>
    </xf>
    <xf numFmtId="164" fontId="0" fillId="0" borderId="0" xfId="1" applyNumberFormat="1" applyFont="1" applyBorder="1" applyAlignment="1">
      <alignment vertical="center" wrapText="1"/>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87" xfId="0" applyFont="1" applyFill="1" applyBorder="1" applyAlignment="1">
      <alignment vertical="center"/>
    </xf>
    <xf numFmtId="0" fontId="23" fillId="11" borderId="88" xfId="0" applyFont="1" applyFill="1" applyBorder="1" applyAlignment="1">
      <alignment vertical="center"/>
    </xf>
    <xf numFmtId="0" fontId="23" fillId="11" borderId="89"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52" xfId="0" applyFont="1" applyBorder="1" applyAlignment="1">
      <alignment vertical="center"/>
    </xf>
    <xf numFmtId="0" fontId="23" fillId="0" borderId="90"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87" xfId="0" applyFont="1" applyFill="1" applyBorder="1" applyAlignment="1">
      <alignment vertical="center"/>
    </xf>
    <xf numFmtId="0" fontId="26" fillId="11" borderId="89" xfId="0" applyFont="1" applyFill="1" applyBorder="1" applyAlignment="1">
      <alignment horizontal="center" vertical="center" wrapText="1"/>
    </xf>
    <xf numFmtId="0" fontId="26" fillId="0" borderId="87" xfId="0" applyFont="1" applyFill="1" applyBorder="1" applyAlignment="1">
      <alignment vertical="center"/>
    </xf>
    <xf numFmtId="5" fontId="27" fillId="0" borderId="88" xfId="1" applyNumberFormat="1" applyFont="1" applyFill="1" applyBorder="1" applyAlignment="1">
      <alignment horizontal="center" vertical="center"/>
    </xf>
    <xf numFmtId="0" fontId="28" fillId="0" borderId="0" xfId="0" applyFont="1" applyBorder="1" applyAlignment="1">
      <alignment horizontal="center" vertical="center"/>
    </xf>
    <xf numFmtId="0" fontId="23" fillId="11" borderId="88"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5" fontId="28" fillId="0" borderId="21" xfId="1" applyNumberFormat="1" applyFont="1" applyBorder="1" applyAlignment="1">
      <alignment horizontal="center" vertical="center"/>
    </xf>
    <xf numFmtId="0" fontId="23" fillId="0" borderId="0" xfId="0" applyFont="1" applyAlignment="1">
      <alignment horizontal="center" vertical="center"/>
    </xf>
    <xf numFmtId="5" fontId="28" fillId="0" borderId="8" xfId="1" applyNumberFormat="1" applyFont="1" applyBorder="1" applyAlignment="1">
      <alignment horizontal="center" vertical="center"/>
    </xf>
    <xf numFmtId="0" fontId="28" fillId="0" borderId="18" xfId="0" applyFont="1" applyBorder="1" applyAlignment="1">
      <alignment horizontal="center" vertical="center"/>
    </xf>
    <xf numFmtId="5" fontId="28" fillId="0" borderId="0" xfId="1" applyNumberFormat="1" applyFont="1" applyAlignment="1">
      <alignment horizontal="center"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15" fillId="0" borderId="41" xfId="1" applyNumberFormat="1" applyFont="1" applyFill="1" applyBorder="1" applyAlignment="1">
      <alignment horizontal="center" vertical="center" wrapText="1"/>
    </xf>
    <xf numFmtId="164" fontId="15" fillId="0" borderId="32" xfId="1" applyNumberFormat="1" applyFont="1" applyFill="1" applyBorder="1" applyAlignment="1">
      <alignment horizontal="center" vertical="center" wrapText="1"/>
    </xf>
    <xf numFmtId="164" fontId="15" fillId="0" borderId="42" xfId="1" applyNumberFormat="1" applyFont="1" applyFill="1" applyBorder="1" applyAlignment="1">
      <alignment horizontal="center" vertical="center" wrapText="1"/>
    </xf>
    <xf numFmtId="164" fontId="15" fillId="0" borderId="33" xfId="1" applyNumberFormat="1" applyFont="1" applyFill="1" applyBorder="1" applyAlignment="1">
      <alignment horizontal="center" vertical="center" wrapText="1"/>
    </xf>
    <xf numFmtId="164" fontId="0" fillId="0" borderId="33" xfId="1" applyNumberFormat="1" applyFont="1" applyBorder="1" applyAlignment="1">
      <alignment horizontal="left" vertical="center" wrapText="1"/>
    </xf>
    <xf numFmtId="168" fontId="2" fillId="4" borderId="12" xfId="1" applyNumberFormat="1" applyFont="1" applyFill="1" applyBorder="1" applyAlignment="1">
      <alignment horizontal="center"/>
    </xf>
    <xf numFmtId="168" fontId="15" fillId="0" borderId="38" xfId="1" applyNumberFormat="1" applyFont="1" applyFill="1" applyBorder="1" applyAlignment="1">
      <alignment horizontal="center" vertical="center"/>
    </xf>
    <xf numFmtId="168" fontId="15" fillId="0" borderId="39" xfId="1" applyNumberFormat="1" applyFont="1" applyFill="1" applyBorder="1" applyAlignment="1">
      <alignment horizontal="center" vertical="center"/>
    </xf>
    <xf numFmtId="168" fontId="15" fillId="0" borderId="40" xfId="1" applyNumberFormat="1" applyFont="1" applyFill="1" applyBorder="1" applyAlignment="1">
      <alignment horizontal="center" vertical="center"/>
    </xf>
    <xf numFmtId="168" fontId="2" fillId="4" borderId="44" xfId="1" applyNumberFormat="1" applyFont="1" applyFill="1" applyBorder="1" applyAlignment="1">
      <alignment horizontal="center"/>
    </xf>
    <xf numFmtId="168" fontId="2" fillId="4" borderId="45" xfId="1" applyNumberFormat="1" applyFont="1" applyFill="1" applyBorder="1" applyAlignment="1">
      <alignment horizontal="center"/>
    </xf>
    <xf numFmtId="168" fontId="2" fillId="4" borderId="42"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9"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0" fillId="0" borderId="25" xfId="0" applyFill="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0" fillId="11" borderId="61" xfId="0" applyFill="1" applyBorder="1" applyAlignment="1">
      <alignment horizontal="left" vertical="center" wrapText="1"/>
    </xf>
    <xf numFmtId="0" fontId="0" fillId="11" borderId="62" xfId="0" applyFill="1" applyBorder="1" applyAlignment="1">
      <alignment horizontal="left" vertical="center" wrapText="1"/>
    </xf>
    <xf numFmtId="0" fontId="22" fillId="0" borderId="0" xfId="0" applyFont="1" applyAlignment="1">
      <alignment horizontal="center" vertical="center"/>
    </xf>
    <xf numFmtId="0" fontId="5" fillId="0" borderId="0" xfId="0" applyFont="1" applyAlignment="1">
      <alignment horizontal="center" vertical="center" wrapText="1"/>
    </xf>
    <xf numFmtId="0" fontId="2" fillId="0" borderId="74" xfId="0" applyFont="1" applyBorder="1" applyAlignment="1">
      <alignment horizontal="center" vertical="center" textRotation="90" wrapText="1"/>
    </xf>
    <xf numFmtId="0" fontId="2" fillId="0" borderId="75" xfId="0" applyFont="1" applyBorder="1" applyAlignment="1">
      <alignment horizontal="center" vertical="center" textRotation="90" wrapText="1"/>
    </xf>
    <xf numFmtId="0" fontId="2" fillId="0" borderId="70"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0" fillId="11" borderId="66" xfId="0" applyFill="1" applyBorder="1" applyAlignment="1">
      <alignment horizontal="left" vertical="center" wrapText="1"/>
    </xf>
    <xf numFmtId="0" fontId="0" fillId="11" borderId="67" xfId="0" applyFill="1" applyBorder="1" applyAlignment="1">
      <alignment horizontal="left" vertical="center" wrapText="1"/>
    </xf>
    <xf numFmtId="0" fontId="2" fillId="11" borderId="60" xfId="0" applyFont="1" applyFill="1" applyBorder="1" applyAlignment="1">
      <alignment horizontal="center" vertical="center"/>
    </xf>
    <xf numFmtId="0" fontId="2" fillId="11" borderId="61" xfId="0" applyFont="1" applyFill="1" applyBorder="1" applyAlignment="1">
      <alignment horizontal="center" vertical="center"/>
    </xf>
    <xf numFmtId="0" fontId="2" fillId="0" borderId="47" xfId="0" applyFont="1" applyBorder="1" applyAlignment="1">
      <alignment horizontal="center" vertical="center" textRotation="90"/>
    </xf>
    <xf numFmtId="0" fontId="2" fillId="0" borderId="56" xfId="0" applyFont="1" applyBorder="1" applyAlignment="1">
      <alignment horizontal="center" vertical="center" textRotation="90"/>
    </xf>
    <xf numFmtId="0" fontId="2" fillId="0" borderId="48" xfId="0" applyFont="1" applyBorder="1" applyAlignment="1">
      <alignment horizontal="center" vertical="center" textRotation="90"/>
    </xf>
    <xf numFmtId="0" fontId="2" fillId="0" borderId="54"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74" xfId="0" applyFont="1" applyBorder="1" applyAlignment="1">
      <alignment horizontal="center" vertical="center" textRotation="90"/>
    </xf>
    <xf numFmtId="0" fontId="2" fillId="0" borderId="75" xfId="0" applyFont="1" applyBorder="1" applyAlignment="1">
      <alignment horizontal="center" vertical="center" textRotation="90"/>
    </xf>
    <xf numFmtId="0" fontId="2" fillId="0" borderId="70" xfId="0" applyFont="1" applyBorder="1" applyAlignment="1">
      <alignment horizontal="center" vertical="center" textRotation="90"/>
    </xf>
    <xf numFmtId="0" fontId="2" fillId="0" borderId="82" xfId="0" applyFont="1" applyBorder="1" applyAlignment="1">
      <alignment horizontal="center" vertical="center" textRotation="90"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88" xfId="0" applyFont="1" applyFill="1" applyBorder="1" applyAlignment="1">
      <alignment horizontal="left" vertical="center" wrapText="1"/>
    </xf>
    <xf numFmtId="0" fontId="23" fillId="0" borderId="89"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6" fillId="11" borderId="87" xfId="0" applyFont="1" applyFill="1" applyBorder="1" applyAlignment="1">
      <alignment horizontal="center" vertical="center"/>
    </xf>
    <xf numFmtId="0" fontId="26" fillId="11" borderId="89" xfId="0"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FF99FF"/>
      <color rgb="FF0000FF"/>
      <color rgb="FFFFCC66"/>
      <color rgb="FFFFFF99"/>
      <color rgb="FFCCFFCC"/>
      <color rgb="FFCCCC00"/>
      <color rgb="FFF8F8F8"/>
      <color rgb="FF808000"/>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5" customWidth="1"/>
    <col min="2" max="16384" width="9.08984375" style="45"/>
  </cols>
  <sheetData>
    <row r="2" spans="1:3">
      <c r="A2" s="45" t="s">
        <v>187</v>
      </c>
      <c r="C2" s="46">
        <v>2019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L116"/>
  <sheetViews>
    <sheetView showGridLines="0" topLeftCell="B91" workbookViewId="0">
      <selection activeCell="E13" sqref="E13"/>
    </sheetView>
  </sheetViews>
  <sheetFormatPr defaultColWidth="9.08984375" defaultRowHeight="14.5"/>
  <cols>
    <col min="1" max="1" width="4.453125" style="47" hidden="1" customWidth="1"/>
    <col min="2" max="2" width="4.36328125" style="4" customWidth="1"/>
    <col min="3" max="3" width="9.08984375" style="1"/>
    <col min="4" max="4" width="27.90625" style="1" customWidth="1"/>
    <col min="5" max="6" width="12.08984375" style="1" customWidth="1"/>
    <col min="7" max="7" width="12.54296875" style="1" customWidth="1"/>
    <col min="8" max="8" width="2.54296875" style="1" customWidth="1"/>
    <col min="9" max="9" width="12.54296875" style="1" bestFit="1" customWidth="1"/>
    <col min="10" max="10" width="11.6328125" style="1" customWidth="1"/>
    <col min="11" max="11" width="10" style="42" bestFit="1" customWidth="1"/>
    <col min="12" max="16384" width="9.08984375" style="1"/>
  </cols>
  <sheetData>
    <row r="1" spans="1:11" ht="41.25" customHeight="1">
      <c r="B1" s="510" t="s">
        <v>91</v>
      </c>
      <c r="C1" s="510"/>
      <c r="D1" s="510"/>
      <c r="E1" s="510"/>
      <c r="F1" s="510"/>
      <c r="G1" s="510"/>
      <c r="H1" s="510"/>
      <c r="I1" s="510"/>
      <c r="J1" s="510"/>
      <c r="K1" s="510"/>
    </row>
    <row r="2" spans="1:11" ht="8.25" customHeight="1">
      <c r="B2" s="511"/>
      <c r="C2" s="511"/>
      <c r="D2" s="511"/>
      <c r="E2" s="511"/>
      <c r="F2" s="511"/>
      <c r="G2" s="511"/>
      <c r="H2" s="511"/>
      <c r="I2" s="511"/>
      <c r="J2" s="511"/>
      <c r="K2" s="511"/>
    </row>
    <row r="3" spans="1:11" ht="18" customHeight="1">
      <c r="E3" s="515" t="s">
        <v>90</v>
      </c>
      <c r="F3" s="516"/>
      <c r="G3" s="517"/>
      <c r="I3" s="512" t="str">
        <f>+'New Year-Full Year'!T2</f>
        <v>2018 Year to Date (YTD)</v>
      </c>
      <c r="J3" s="513"/>
      <c r="K3" s="514"/>
    </row>
    <row r="4" spans="1:11" s="4" customFormat="1" ht="44.25" customHeight="1">
      <c r="A4" s="48"/>
      <c r="E4" s="50" t="str">
        <f>+'New Year-Full Year'!O3</f>
        <v>2019 Budget</v>
      </c>
      <c r="F4" s="44" t="str">
        <f>+'New Year-Full Year'!P3</f>
        <v>2018 Budget</v>
      </c>
      <c r="G4" s="51" t="str">
        <f>+'New Year-Full Year'!R4</f>
        <v>%</v>
      </c>
      <c r="I4" s="2" t="str">
        <f>+'New Year-Full Year'!T3</f>
        <v>Dec YTD Actual</v>
      </c>
      <c r="J4" s="41" t="str">
        <f>+'New Year-Full Year'!U3</f>
        <v>Dec YTD Budget</v>
      </c>
      <c r="K4" s="3" t="s">
        <v>89</v>
      </c>
    </row>
    <row r="5" spans="1:11" s="4" customFormat="1" ht="18.5">
      <c r="A5" s="48"/>
      <c r="B5" s="9" t="s">
        <v>0</v>
      </c>
      <c r="E5" s="10"/>
      <c r="F5" s="43"/>
      <c r="G5" s="43"/>
      <c r="I5" s="43"/>
      <c r="J5" s="43"/>
      <c r="K5" s="43"/>
    </row>
    <row r="6" spans="1:11">
      <c r="A6" s="47">
        <v>1</v>
      </c>
      <c r="B6" s="4" t="s">
        <v>1</v>
      </c>
    </row>
    <row r="7" spans="1:11">
      <c r="A7" s="47">
        <v>2</v>
      </c>
      <c r="C7" s="1" t="str">
        <f>+'New Year-Full Year'!C7</f>
        <v>Envelope Giving</v>
      </c>
      <c r="E7" s="40">
        <f>+'New Year-Full Year'!O7</f>
        <v>490000</v>
      </c>
      <c r="F7" s="40">
        <f>+'New Year-Full Year'!P7</f>
        <v>500000</v>
      </c>
      <c r="G7" s="6">
        <f t="shared" ref="G7:G13" si="0">IF(F7=0,"NA",(+E7-F7)/F7)</f>
        <v>-0.02</v>
      </c>
      <c r="I7" s="40">
        <f>+'New Year-Full Year'!T7</f>
        <v>490294.58</v>
      </c>
      <c r="J7" s="40">
        <f>+'New Year-Full Year'!U7</f>
        <v>500000</v>
      </c>
      <c r="K7" s="6">
        <f t="shared" ref="K7:K13" si="1">IF(J7=0,"NA",(+I7-J7)/J7)</f>
        <v>-1.9410839999999967E-2</v>
      </c>
    </row>
    <row r="8" spans="1:11">
      <c r="C8" s="1" t="str">
        <f>+'New Year-Full Year'!C8</f>
        <v>Advent Envelopes</v>
      </c>
      <c r="E8" s="40">
        <f>+'New Year-Full Year'!O8</f>
        <v>0</v>
      </c>
      <c r="F8" s="40">
        <f>+'New Year-Full Year'!P8</f>
        <v>0</v>
      </c>
      <c r="G8" s="6" t="str">
        <f t="shared" ref="G8" si="2">IF(F8=0,"NA",(+E8-F8)/F8)</f>
        <v>NA</v>
      </c>
      <c r="I8" s="40">
        <f>+'New Year-Full Year'!T8</f>
        <v>82</v>
      </c>
      <c r="J8" s="40">
        <f>+'New Year-Full Year'!U8</f>
        <v>0</v>
      </c>
      <c r="K8" s="6" t="str">
        <f t="shared" ref="K8" si="3">IF(J8=0,"NA",(+I8-J8)/J8)</f>
        <v>NA</v>
      </c>
    </row>
    <row r="9" spans="1:11">
      <c r="A9" s="47">
        <v>4</v>
      </c>
      <c r="C9" s="1" t="str">
        <f>+'New Year-Full Year'!C9</f>
        <v>Easter Offerings</v>
      </c>
      <c r="E9" s="40">
        <f>+'New Year-Full Year'!O9</f>
        <v>3500</v>
      </c>
      <c r="F9" s="40">
        <f>+'New Year-Full Year'!P9</f>
        <v>4000</v>
      </c>
      <c r="G9" s="6">
        <f t="shared" si="0"/>
        <v>-0.125</v>
      </c>
      <c r="I9" s="40">
        <f>+'New Year-Full Year'!T9</f>
        <v>3525</v>
      </c>
      <c r="J9" s="40">
        <f>+'New Year-Full Year'!U9</f>
        <v>4000</v>
      </c>
      <c r="K9" s="6">
        <f t="shared" si="1"/>
        <v>-0.11874999999999999</v>
      </c>
    </row>
    <row r="10" spans="1:11">
      <c r="A10" s="47">
        <v>5</v>
      </c>
      <c r="C10" s="1" t="str">
        <f>+'New Year-Full Year'!C10</f>
        <v>Thanksgiving Offerings</v>
      </c>
      <c r="E10" s="40">
        <f>+'New Year-Full Year'!O10</f>
        <v>1000</v>
      </c>
      <c r="F10" s="40">
        <f>+'New Year-Full Year'!P10</f>
        <v>1000</v>
      </c>
      <c r="G10" s="6">
        <f t="shared" si="0"/>
        <v>0</v>
      </c>
      <c r="I10" s="40">
        <f>+'New Year-Full Year'!T10</f>
        <v>714</v>
      </c>
      <c r="J10" s="40">
        <f>+'New Year-Full Year'!U10</f>
        <v>1000</v>
      </c>
      <c r="K10" s="6">
        <f t="shared" si="1"/>
        <v>-0.28599999999999998</v>
      </c>
    </row>
    <row r="11" spans="1:11">
      <c r="A11" s="47">
        <v>6</v>
      </c>
      <c r="C11" s="1" t="str">
        <f>+'New Year-Full Year'!C11</f>
        <v>Christmas Offerings</v>
      </c>
      <c r="E11" s="40">
        <f>+'New Year-Full Year'!O11</f>
        <v>5000</v>
      </c>
      <c r="F11" s="40">
        <f>+'New Year-Full Year'!P11</f>
        <v>5000</v>
      </c>
      <c r="G11" s="6">
        <f t="shared" si="0"/>
        <v>0</v>
      </c>
      <c r="I11" s="40">
        <f>+'New Year-Full Year'!T11</f>
        <v>4347</v>
      </c>
      <c r="J11" s="40">
        <f>+'New Year-Full Year'!U11</f>
        <v>5000</v>
      </c>
      <c r="K11" s="6">
        <f t="shared" si="1"/>
        <v>-0.13059999999999999</v>
      </c>
    </row>
    <row r="12" spans="1:11">
      <c r="A12" s="47">
        <v>7</v>
      </c>
      <c r="C12" s="1" t="str">
        <f>+'New Year-Full Year'!C12</f>
        <v>Lenten Offerings</v>
      </c>
      <c r="E12" s="40">
        <f>+'New Year-Full Year'!O12</f>
        <v>2800</v>
      </c>
      <c r="F12" s="40">
        <f>+'New Year-Full Year'!P12</f>
        <v>3000</v>
      </c>
      <c r="G12" s="6">
        <f t="shared" si="0"/>
        <v>-6.6666666666666666E-2</v>
      </c>
      <c r="I12" s="40">
        <f>+'New Year-Full Year'!T12</f>
        <v>2864</v>
      </c>
      <c r="J12" s="40">
        <f>+'New Year-Full Year'!U12</f>
        <v>3000</v>
      </c>
      <c r="K12" s="6">
        <f t="shared" si="1"/>
        <v>-4.5333333333333337E-2</v>
      </c>
    </row>
    <row r="13" spans="1:11">
      <c r="A13" s="47">
        <v>8</v>
      </c>
      <c r="B13" s="12" t="s">
        <v>6</v>
      </c>
      <c r="C13" s="12"/>
      <c r="D13" s="12"/>
      <c r="E13" s="12">
        <f>SUM(E7:E12)</f>
        <v>502300</v>
      </c>
      <c r="F13" s="12">
        <f>SUM(F7:F12)</f>
        <v>513000</v>
      </c>
      <c r="G13" s="13">
        <f t="shared" si="0"/>
        <v>-2.0857699805068228E-2</v>
      </c>
      <c r="I13" s="12">
        <f>SUM(I7:I12)</f>
        <v>501826.58</v>
      </c>
      <c r="J13" s="12">
        <f>SUM(J7:J12)</f>
        <v>513000</v>
      </c>
      <c r="K13" s="13">
        <f t="shared" si="1"/>
        <v>-2.1780545808966829E-2</v>
      </c>
    </row>
    <row r="14" spans="1:11" ht="5.25" customHeight="1">
      <c r="A14" s="47">
        <v>9</v>
      </c>
      <c r="G14" s="42"/>
    </row>
    <row r="15" spans="1:11">
      <c r="A15" s="47">
        <v>10</v>
      </c>
      <c r="B15" s="4" t="s">
        <v>7</v>
      </c>
      <c r="G15" s="42"/>
    </row>
    <row r="16" spans="1:11">
      <c r="A16" s="47">
        <v>11</v>
      </c>
      <c r="C16" s="1" t="str">
        <f>+'New Year-Full Year'!C16</f>
        <v>Loose Offerings</v>
      </c>
      <c r="E16" s="40">
        <f>+'New Year-Full Year'!O16</f>
        <v>11000</v>
      </c>
      <c r="F16" s="40">
        <f>+'New Year-Full Year'!P16</f>
        <v>8500</v>
      </c>
      <c r="G16" s="6">
        <f t="shared" ref="G16:G22" si="4">IF(F16=0,"NA",(+E16-F16)/F16)</f>
        <v>0.29411764705882354</v>
      </c>
      <c r="I16" s="40">
        <f>+'New Year-Full Year'!T16</f>
        <v>10324.290000000001</v>
      </c>
      <c r="J16" s="40">
        <f>+'New Year-Full Year'!U16</f>
        <v>8500</v>
      </c>
      <c r="K16" s="6">
        <f t="shared" ref="K16:K22" si="5">IF(J16=0,"NA",(+I16-J16)/J16)</f>
        <v>0.21462235294117657</v>
      </c>
    </row>
    <row r="17" spans="1:11">
      <c r="A17" s="47">
        <v>12</v>
      </c>
      <c r="C17" s="1" t="str">
        <f>+'New Year-Full Year'!C17</f>
        <v>Misc Income</v>
      </c>
      <c r="E17" s="40">
        <f>+'New Year-Full Year'!O17</f>
        <v>0</v>
      </c>
      <c r="F17" s="40">
        <f>+'New Year-Full Year'!P17</f>
        <v>0</v>
      </c>
      <c r="G17" s="6" t="str">
        <f t="shared" si="4"/>
        <v>NA</v>
      </c>
      <c r="I17" s="40">
        <f>+'New Year-Full Year'!T17</f>
        <v>5066</v>
      </c>
      <c r="J17" s="40">
        <f>+'New Year-Full Year'!U17</f>
        <v>0</v>
      </c>
      <c r="K17" s="6" t="str">
        <f t="shared" si="5"/>
        <v>NA</v>
      </c>
    </row>
    <row r="18" spans="1:11" hidden="1">
      <c r="A18" s="47">
        <v>13</v>
      </c>
      <c r="C18" s="1" t="str">
        <f>+'New Year-Full Year'!C18</f>
        <v>Special Appeal</v>
      </c>
      <c r="E18" s="40">
        <f>+'New Year-Full Year'!O18</f>
        <v>0</v>
      </c>
      <c r="F18" s="40">
        <f>+'New Year-Full Year'!P18</f>
        <v>0</v>
      </c>
      <c r="G18" s="6" t="str">
        <f t="shared" si="4"/>
        <v>NA</v>
      </c>
      <c r="I18" s="40">
        <f>+'New Year-Full Year'!T18</f>
        <v>0</v>
      </c>
      <c r="J18" s="40">
        <f>+'New Year-Full Year'!U18</f>
        <v>0</v>
      </c>
      <c r="K18" s="6" t="str">
        <f t="shared" si="5"/>
        <v>NA</v>
      </c>
    </row>
    <row r="19" spans="1:11">
      <c r="A19" s="47">
        <v>14</v>
      </c>
      <c r="C19" s="1" t="str">
        <f>+'New Year-Full Year'!C19</f>
        <v>Current Investment Income</v>
      </c>
      <c r="E19" s="40">
        <f>+'New Year-Full Year'!O19</f>
        <v>0</v>
      </c>
      <c r="F19" s="40">
        <f>+'New Year-Full Year'!P19</f>
        <v>0</v>
      </c>
      <c r="G19" s="6" t="str">
        <f t="shared" si="4"/>
        <v>NA</v>
      </c>
      <c r="I19" s="40">
        <f>+'New Year-Full Year'!T19</f>
        <v>2.83</v>
      </c>
      <c r="J19" s="40">
        <f>+'New Year-Full Year'!U19</f>
        <v>0</v>
      </c>
      <c r="K19" s="6" t="str">
        <f t="shared" si="5"/>
        <v>NA</v>
      </c>
    </row>
    <row r="20" spans="1:11">
      <c r="A20" s="47">
        <v>15</v>
      </c>
      <c r="C20" s="1" t="str">
        <f>+'New Year-Full Year'!C20</f>
        <v>Clearing Account</v>
      </c>
      <c r="E20" s="40">
        <f>+'New Year-Full Year'!O20</f>
        <v>0</v>
      </c>
      <c r="F20" s="40">
        <f>+'New Year-Full Year'!P20</f>
        <v>0</v>
      </c>
      <c r="G20" s="6" t="str">
        <f t="shared" si="4"/>
        <v>NA</v>
      </c>
      <c r="I20" s="40">
        <f>+'New Year-Full Year'!T20</f>
        <v>0</v>
      </c>
      <c r="J20" s="40">
        <f>+'New Year-Full Year'!U20</f>
        <v>0</v>
      </c>
      <c r="K20" s="6" t="str">
        <f t="shared" si="5"/>
        <v>NA</v>
      </c>
    </row>
    <row r="21" spans="1:11">
      <c r="A21" s="47">
        <v>16</v>
      </c>
      <c r="B21" s="12" t="s">
        <v>10</v>
      </c>
      <c r="C21" s="12"/>
      <c r="D21" s="12"/>
      <c r="E21" s="12">
        <f>SUM(E16:E20)</f>
        <v>11000</v>
      </c>
      <c r="F21" s="12">
        <f>SUM(F16:F20)</f>
        <v>8500</v>
      </c>
      <c r="G21" s="13">
        <f t="shared" si="4"/>
        <v>0.29411764705882354</v>
      </c>
      <c r="I21" s="12">
        <f>SUM(I16:I20)</f>
        <v>15393.12</v>
      </c>
      <c r="J21" s="12">
        <f>SUM(J16:J20)</f>
        <v>8500</v>
      </c>
      <c r="K21" s="13">
        <f t="shared" si="5"/>
        <v>0.81095529411764711</v>
      </c>
    </row>
    <row r="22" spans="1:11">
      <c r="A22" s="47">
        <v>17</v>
      </c>
      <c r="B22" s="12" t="s">
        <v>12</v>
      </c>
      <c r="C22" s="12"/>
      <c r="D22" s="12"/>
      <c r="E22" s="12">
        <f>+E13+E21</f>
        <v>513300</v>
      </c>
      <c r="F22" s="12">
        <f>+F13+F21</f>
        <v>521500</v>
      </c>
      <c r="G22" s="13">
        <f t="shared" si="4"/>
        <v>-1.5723873441994246E-2</v>
      </c>
      <c r="I22" s="12">
        <f>+I13+I21</f>
        <v>517219.7</v>
      </c>
      <c r="J22" s="12">
        <f>+J13+J21</f>
        <v>521500</v>
      </c>
      <c r="K22" s="13">
        <f t="shared" si="5"/>
        <v>-8.2076701821668045E-3</v>
      </c>
    </row>
    <row r="23" spans="1:11" ht="6" customHeight="1">
      <c r="A23" s="47">
        <v>18</v>
      </c>
      <c r="G23" s="42"/>
    </row>
    <row r="24" spans="1:11" ht="18.5">
      <c r="A24" s="47">
        <v>19</v>
      </c>
      <c r="B24" s="9" t="s">
        <v>13</v>
      </c>
      <c r="G24" s="42"/>
    </row>
    <row r="25" spans="1:11" s="4" customFormat="1">
      <c r="A25" s="47">
        <v>26</v>
      </c>
      <c r="B25" s="14"/>
      <c r="C25" s="15" t="s">
        <v>97</v>
      </c>
      <c r="D25" s="14"/>
      <c r="E25" s="14">
        <f>+'New Year-Full Year'!O30</f>
        <v>51330</v>
      </c>
      <c r="F25" s="14">
        <f>+'New Year-Full Year'!P30</f>
        <v>52150</v>
      </c>
      <c r="G25" s="16">
        <f>IF(F25=0,"NA",(+E25-F25)/F25)</f>
        <v>-1.5723873441994246E-2</v>
      </c>
      <c r="H25" s="1"/>
      <c r="I25" s="14">
        <f>+'New Year-Full Year'!T30</f>
        <v>52600</v>
      </c>
      <c r="J25" s="14">
        <f>+'New Year-Full Year'!U30</f>
        <v>52150</v>
      </c>
      <c r="K25" s="16">
        <f>IF(J25=0,"NA",(+I25-J25)/J25)</f>
        <v>8.6289549376797701E-3</v>
      </c>
    </row>
    <row r="26" spans="1:11" s="4" customFormat="1" ht="6.75" customHeight="1">
      <c r="A26" s="47">
        <v>27</v>
      </c>
      <c r="B26" s="17"/>
      <c r="C26" s="18"/>
      <c r="D26" s="17"/>
      <c r="E26" s="17"/>
      <c r="F26" s="19"/>
      <c r="G26" s="20"/>
      <c r="H26" s="1"/>
      <c r="I26" s="19"/>
      <c r="J26" s="19"/>
      <c r="K26" s="20"/>
    </row>
    <row r="27" spans="1:11" s="4" customFormat="1" ht="18.5">
      <c r="A27" s="47">
        <v>28</v>
      </c>
      <c r="B27" s="21" t="s">
        <v>66</v>
      </c>
      <c r="C27" s="18"/>
      <c r="D27" s="17"/>
      <c r="E27" s="17"/>
      <c r="F27" s="19"/>
      <c r="G27" s="20"/>
      <c r="H27" s="17"/>
      <c r="I27" s="19"/>
      <c r="J27" s="19"/>
      <c r="K27" s="20"/>
    </row>
    <row r="28" spans="1:11">
      <c r="A28" s="47">
        <v>29</v>
      </c>
      <c r="B28" s="4" t="s">
        <v>17</v>
      </c>
      <c r="G28" s="42"/>
    </row>
    <row r="29" spans="1:11">
      <c r="A29" s="47">
        <v>30</v>
      </c>
      <c r="C29" s="1" t="str">
        <f>+'New Year-Full Year'!C34</f>
        <v>Sunday School</v>
      </c>
      <c r="E29" s="40">
        <f>+'New Year-Full Year'!O34</f>
        <v>2000</v>
      </c>
      <c r="F29" s="40">
        <f>+'New Year-Full Year'!P34</f>
        <v>2000</v>
      </c>
      <c r="G29" s="6">
        <f t="shared" ref="G29:G36" si="6">IF(F29=0,"NA",(+E29-F29)/F29)</f>
        <v>0</v>
      </c>
      <c r="I29" s="40">
        <f>+'New Year-Full Year'!T34</f>
        <v>990.46</v>
      </c>
      <c r="J29" s="40">
        <f>+'New Year-Full Year'!U34</f>
        <v>2000</v>
      </c>
      <c r="K29" s="6">
        <f t="shared" ref="K29:K36" si="7">IF(J29=0,"NA",(+I29-J29)/J29)</f>
        <v>-0.50476999999999994</v>
      </c>
    </row>
    <row r="30" spans="1:11">
      <c r="A30" s="47">
        <v>31</v>
      </c>
      <c r="C30" s="1" t="str">
        <f>+'New Year-Full Year'!C35</f>
        <v>Confirmation</v>
      </c>
      <c r="E30" s="40">
        <f>+'New Year-Full Year'!O35</f>
        <v>1000</v>
      </c>
      <c r="F30" s="40">
        <f>+'New Year-Full Year'!P35</f>
        <v>1000</v>
      </c>
      <c r="G30" s="6">
        <f t="shared" si="6"/>
        <v>0</v>
      </c>
      <c r="I30" s="40">
        <f>+'New Year-Full Year'!T35</f>
        <v>548.65</v>
      </c>
      <c r="J30" s="40">
        <f>+'New Year-Full Year'!U35</f>
        <v>1000</v>
      </c>
      <c r="K30" s="6">
        <f t="shared" si="7"/>
        <v>-0.45135000000000003</v>
      </c>
    </row>
    <row r="31" spans="1:11">
      <c r="A31" s="47">
        <v>32</v>
      </c>
      <c r="C31" s="1" t="str">
        <f>+'New Year-Full Year'!C36</f>
        <v>Summer Bible School</v>
      </c>
      <c r="E31" s="40">
        <f>+'New Year-Full Year'!O36</f>
        <v>1000</v>
      </c>
      <c r="F31" s="40">
        <f>+'New Year-Full Year'!P36</f>
        <v>500</v>
      </c>
      <c r="G31" s="6">
        <f t="shared" si="6"/>
        <v>1</v>
      </c>
      <c r="I31" s="40">
        <f>+'New Year-Full Year'!T36</f>
        <v>0</v>
      </c>
      <c r="J31" s="40">
        <f>+'New Year-Full Year'!U36</f>
        <v>500</v>
      </c>
      <c r="K31" s="6">
        <f t="shared" si="7"/>
        <v>-1</v>
      </c>
    </row>
    <row r="32" spans="1:11">
      <c r="A32" s="47">
        <v>33</v>
      </c>
      <c r="C32" s="1" t="str">
        <f>+'New Year-Full Year'!C37</f>
        <v>Library</v>
      </c>
      <c r="E32" s="40">
        <f>+'New Year-Full Year'!O37</f>
        <v>300</v>
      </c>
      <c r="F32" s="40">
        <f>+'New Year-Full Year'!P37</f>
        <v>200</v>
      </c>
      <c r="G32" s="6">
        <f t="shared" si="6"/>
        <v>0.5</v>
      </c>
      <c r="I32" s="40">
        <f>+'New Year-Full Year'!T37</f>
        <v>197.8</v>
      </c>
      <c r="J32" s="40">
        <f>+'New Year-Full Year'!U37</f>
        <v>200</v>
      </c>
      <c r="K32" s="6">
        <f t="shared" si="7"/>
        <v>-1.0999999999999944E-2</v>
      </c>
    </row>
    <row r="33" spans="1:11">
      <c r="A33" s="47">
        <v>34</v>
      </c>
      <c r="C33" s="1" t="str">
        <f>+'New Year-Full Year'!C38</f>
        <v>First Communion</v>
      </c>
      <c r="E33" s="40">
        <f>+'New Year-Full Year'!O38</f>
        <v>200</v>
      </c>
      <c r="F33" s="40">
        <f>+'New Year-Full Year'!P38</f>
        <v>200</v>
      </c>
      <c r="G33" s="6">
        <f t="shared" si="6"/>
        <v>0</v>
      </c>
      <c r="I33" s="40">
        <f>+'New Year-Full Year'!T38</f>
        <v>63.83</v>
      </c>
      <c r="J33" s="40">
        <f>+'New Year-Full Year'!U38</f>
        <v>200</v>
      </c>
      <c r="K33" s="6">
        <f t="shared" si="7"/>
        <v>-0.68085000000000007</v>
      </c>
    </row>
    <row r="34" spans="1:11">
      <c r="C34" s="1" t="str">
        <f>+'New Year-Full Year'!C39</f>
        <v>Adult Education</v>
      </c>
      <c r="E34" s="40">
        <f>+'New Year-Full Year'!O39</f>
        <v>750</v>
      </c>
      <c r="F34" s="40">
        <f>+'New Year-Full Year'!P39</f>
        <v>750</v>
      </c>
      <c r="G34" s="6">
        <f t="shared" si="6"/>
        <v>0</v>
      </c>
      <c r="I34" s="40">
        <f>+'New Year-Full Year'!T39</f>
        <v>141.46</v>
      </c>
      <c r="J34" s="40">
        <f>+'New Year-Full Year'!U39</f>
        <v>750</v>
      </c>
      <c r="K34" s="6">
        <f t="shared" ref="K34" si="8">IF(J34=0,"NA",(+I34-J34)/J34)</f>
        <v>-0.81138666666666659</v>
      </c>
    </row>
    <row r="35" spans="1:11">
      <c r="A35" s="47">
        <v>35</v>
      </c>
      <c r="C35" s="1" t="str">
        <f>+'New Year-Full Year'!C40</f>
        <v>Cradle Roll</v>
      </c>
      <c r="E35" s="40">
        <f>+'New Year-Full Year'!O40</f>
        <v>200</v>
      </c>
      <c r="F35" s="40">
        <f>+'New Year-Full Year'!P40</f>
        <v>200</v>
      </c>
      <c r="G35" s="6">
        <f t="shared" si="6"/>
        <v>0</v>
      </c>
      <c r="I35" s="40">
        <f>+'New Year-Full Year'!T40</f>
        <v>390.02</v>
      </c>
      <c r="J35" s="40">
        <f>+'New Year-Full Year'!U40</f>
        <v>200</v>
      </c>
      <c r="K35" s="6">
        <f t="shared" si="7"/>
        <v>0.95009999999999994</v>
      </c>
    </row>
    <row r="36" spans="1:11" s="4" customFormat="1">
      <c r="A36" s="47">
        <v>36</v>
      </c>
      <c r="B36" s="39" t="s">
        <v>21</v>
      </c>
      <c r="C36" s="39"/>
      <c r="D36" s="39"/>
      <c r="E36" s="39">
        <f>SUM(E29:E35)</f>
        <v>5450</v>
      </c>
      <c r="F36" s="39">
        <f>SUM(F29:F35)</f>
        <v>4850</v>
      </c>
      <c r="G36" s="23">
        <f t="shared" si="6"/>
        <v>0.12371134020618557</v>
      </c>
      <c r="I36" s="39">
        <f>SUM(I29:I35)</f>
        <v>2332.2200000000003</v>
      </c>
      <c r="J36" s="39">
        <f>SUM(J29:J35)</f>
        <v>4850</v>
      </c>
      <c r="K36" s="23">
        <f t="shared" si="7"/>
        <v>-0.51912989690721645</v>
      </c>
    </row>
    <row r="37" spans="1:11" ht="6" customHeight="1">
      <c r="A37" s="47">
        <v>37</v>
      </c>
      <c r="G37" s="42"/>
    </row>
    <row r="38" spans="1:11">
      <c r="A38" s="47">
        <v>40</v>
      </c>
      <c r="B38" s="4" t="s">
        <v>168</v>
      </c>
      <c r="G38" s="42"/>
    </row>
    <row r="39" spans="1:11">
      <c r="A39" s="47">
        <v>41</v>
      </c>
      <c r="C39" s="1" t="str">
        <f>+'New Year-Full Year'!C44</f>
        <v>Worship Supplies</v>
      </c>
      <c r="E39" s="40">
        <f>+'New Year-Full Year'!O44</f>
        <v>4000</v>
      </c>
      <c r="F39" s="40">
        <f>+'New Year-Full Year'!P44</f>
        <v>5000</v>
      </c>
      <c r="G39" s="6">
        <f>IF(F39=0,"NA",(+E39-F39)/F39)</f>
        <v>-0.2</v>
      </c>
      <c r="I39" s="40">
        <f>+'New Year-Full Year'!T44</f>
        <v>4878.71</v>
      </c>
      <c r="J39" s="40">
        <f>+'New Year-Full Year'!U44</f>
        <v>5000</v>
      </c>
      <c r="K39" s="6">
        <f>IF(J39=0,"NA",(+I39-J39)/J39)</f>
        <v>-2.4257999999999991E-2</v>
      </c>
    </row>
    <row r="40" spans="1:11">
      <c r="A40" s="47">
        <v>43</v>
      </c>
      <c r="C40" s="1" t="str">
        <f>+'New Year-Full Year'!C46</f>
        <v>Children's Services</v>
      </c>
      <c r="E40" s="40">
        <f>+'New Year-Full Year'!O46</f>
        <v>100</v>
      </c>
      <c r="F40" s="40">
        <f>+'New Year-Full Year'!P46</f>
        <v>100</v>
      </c>
      <c r="G40" s="6">
        <f>IF(F40=0,"NA",(+E40-F40)/F40)</f>
        <v>0</v>
      </c>
      <c r="I40" s="40">
        <f>+'New Year-Full Year'!T46</f>
        <v>89.1</v>
      </c>
      <c r="J40" s="40">
        <f>+'New Year-Full Year'!U46</f>
        <v>100</v>
      </c>
      <c r="K40" s="6">
        <f>IF(J40=0,"NA",(+I40-J40)/J40)</f>
        <v>-0.10900000000000006</v>
      </c>
    </row>
    <row r="41" spans="1:11">
      <c r="A41" s="47">
        <v>44</v>
      </c>
      <c r="C41" s="1" t="str">
        <f>+'New Year-Full Year'!C47</f>
        <v>Flowers</v>
      </c>
      <c r="E41" s="40">
        <f>+'New Year-Full Year'!O47</f>
        <v>200</v>
      </c>
      <c r="F41" s="40">
        <f>+'New Year-Full Year'!P47</f>
        <v>200</v>
      </c>
      <c r="G41" s="6">
        <f>IF(F41=0,"NA",(+E41-F41)/F41)</f>
        <v>0</v>
      </c>
      <c r="I41" s="40">
        <f>+'New Year-Full Year'!T47</f>
        <v>-36.5</v>
      </c>
      <c r="J41" s="40">
        <f>+'New Year-Full Year'!U47</f>
        <v>200</v>
      </c>
      <c r="K41" s="6">
        <f>IF(J41=0,"NA",(+I41-J41)/J41)</f>
        <v>-1.1825000000000001</v>
      </c>
    </row>
    <row r="42" spans="1:11" s="4" customFormat="1">
      <c r="A42" s="47">
        <v>45</v>
      </c>
      <c r="B42" s="39" t="s">
        <v>169</v>
      </c>
      <c r="C42" s="39"/>
      <c r="D42" s="39"/>
      <c r="E42" s="39">
        <f>SUM(E39:E41)</f>
        <v>4300</v>
      </c>
      <c r="F42" s="39">
        <f>SUM(F39:F41)</f>
        <v>5300</v>
      </c>
      <c r="G42" s="23">
        <f>IF(F42=0,"NA",(+E42-F42)/F42)</f>
        <v>-0.18867924528301888</v>
      </c>
      <c r="I42" s="39">
        <f>SUM(I39:I41)</f>
        <v>4931.3100000000004</v>
      </c>
      <c r="J42" s="39">
        <f>SUM(J39:J41)</f>
        <v>5300</v>
      </c>
      <c r="K42" s="23">
        <f>IF(J42=0,"NA",(+I42-J42)/J42)</f>
        <v>-6.9564150943396144E-2</v>
      </c>
    </row>
    <row r="43" spans="1:11" ht="6.75" customHeight="1">
      <c r="A43" s="47">
        <v>46</v>
      </c>
      <c r="G43" s="42"/>
    </row>
    <row r="44" spans="1:11" s="4" customFormat="1">
      <c r="A44" s="47">
        <v>51</v>
      </c>
      <c r="B44" s="39" t="s">
        <v>25</v>
      </c>
      <c r="C44" s="39"/>
      <c r="D44" s="39"/>
      <c r="E44" s="39">
        <f>+'New Year-Full Year'!O50</f>
        <v>12800</v>
      </c>
      <c r="F44" s="39">
        <f>+'New Year-Full Year'!P50</f>
        <v>12800</v>
      </c>
      <c r="G44" s="23">
        <f>IF(F44=0,"NA",(+E44-F44)/F44)</f>
        <v>0</v>
      </c>
      <c r="I44" s="39">
        <f>+'New Year-Full Year'!T50</f>
        <v>12288.13</v>
      </c>
      <c r="J44" s="39">
        <f>+'New Year-Full Year'!U50</f>
        <v>12800</v>
      </c>
      <c r="K44" s="23">
        <f>IF(J44=0,"NA",(+I44-J44)/J44)</f>
        <v>-3.9989843750000059E-2</v>
      </c>
    </row>
    <row r="45" spans="1:11" ht="6.75" customHeight="1">
      <c r="A45" s="47">
        <v>52</v>
      </c>
      <c r="G45" s="42"/>
    </row>
    <row r="46" spans="1:11">
      <c r="A46" s="47">
        <v>53</v>
      </c>
      <c r="B46" s="4" t="s">
        <v>98</v>
      </c>
      <c r="G46" s="42"/>
    </row>
    <row r="47" spans="1:11">
      <c r="A47" s="47">
        <v>54</v>
      </c>
      <c r="C47" s="1" t="str">
        <f>+'New Year-Full Year'!C53</f>
        <v>Church Membership Activities</v>
      </c>
      <c r="E47" s="40">
        <f>+'New Year-Full Year'!O53</f>
        <v>400</v>
      </c>
      <c r="F47" s="40">
        <f>+'New Year-Full Year'!P53</f>
        <v>400</v>
      </c>
      <c r="G47" s="6">
        <f>IF(F47=0,"NA",(+E47-F47)/F47)</f>
        <v>0</v>
      </c>
      <c r="I47" s="40">
        <f>+'New Year-Full Year'!T53</f>
        <v>385.82</v>
      </c>
      <c r="J47" s="40">
        <f>+'New Year-Full Year'!U53</f>
        <v>400</v>
      </c>
      <c r="K47" s="6">
        <f>IF(J47=0,"NA",(+I47-J47)/J47)</f>
        <v>-3.5450000000000016E-2</v>
      </c>
    </row>
    <row r="48" spans="1:11">
      <c r="A48" s="47">
        <v>55</v>
      </c>
      <c r="C48" s="1" t="str">
        <f>+'New Year-Full Year'!C54</f>
        <v>Sunday Coffee</v>
      </c>
      <c r="E48" s="40">
        <f>+'New Year-Full Year'!O54</f>
        <v>150</v>
      </c>
      <c r="F48" s="40">
        <f>+'New Year-Full Year'!P54</f>
        <v>150</v>
      </c>
      <c r="G48" s="6">
        <f>IF(F48=0,"NA",(+E48-F48)/F48)</f>
        <v>0</v>
      </c>
      <c r="I48" s="40">
        <f>+'New Year-Full Year'!T54</f>
        <v>77.63</v>
      </c>
      <c r="J48" s="40">
        <f>+'New Year-Full Year'!U54</f>
        <v>150</v>
      </c>
      <c r="K48" s="6">
        <f>IF(J48=0,"NA",(+I48-J48)/J48)</f>
        <v>-0.48246666666666671</v>
      </c>
    </row>
    <row r="49" spans="1:11" s="4" customFormat="1">
      <c r="A49" s="47">
        <v>56</v>
      </c>
      <c r="B49" s="39" t="s">
        <v>94</v>
      </c>
      <c r="C49" s="39"/>
      <c r="D49" s="39"/>
      <c r="E49" s="39">
        <f>SUM(E47:E48)</f>
        <v>550</v>
      </c>
      <c r="F49" s="39">
        <f>SUM(F47:F48)</f>
        <v>550</v>
      </c>
      <c r="G49" s="23">
        <f>IF(F49=0,"NA",(+E49-F49)/F49)</f>
        <v>0</v>
      </c>
      <c r="I49" s="39">
        <f>SUM(I47:I48)</f>
        <v>463.45</v>
      </c>
      <c r="J49" s="39">
        <f>SUM(J47:J48)</f>
        <v>550</v>
      </c>
      <c r="K49" s="23">
        <f>IF(J49=0,"NA",(+I49-J49)/J49)</f>
        <v>-0.15736363636363637</v>
      </c>
    </row>
    <row r="50" spans="1:11" ht="5.25" customHeight="1">
      <c r="A50" s="47">
        <v>57</v>
      </c>
      <c r="G50" s="42"/>
    </row>
    <row r="51" spans="1:11">
      <c r="A51" s="47">
        <v>58</v>
      </c>
      <c r="B51" s="39" t="s">
        <v>26</v>
      </c>
      <c r="C51" s="24"/>
      <c r="D51" s="24"/>
      <c r="E51" s="49">
        <f>+'New Year-Full Year'!O57</f>
        <v>200</v>
      </c>
      <c r="F51" s="49">
        <f>+'New Year-Full Year'!P57</f>
        <v>200</v>
      </c>
      <c r="G51" s="23">
        <f>IF(F51=0,"NA",(+E51-F51)/F51)</f>
        <v>0</v>
      </c>
      <c r="I51" s="49">
        <f>+'New Year-Full Year'!T57</f>
        <v>250</v>
      </c>
      <c r="J51" s="49">
        <f>+'New Year-Full Year'!U57</f>
        <v>200</v>
      </c>
      <c r="K51" s="23">
        <f>IF(J51=0,"NA",(+I51-J51)/J51)</f>
        <v>0.25</v>
      </c>
    </row>
    <row r="52" spans="1:11" ht="6" customHeight="1">
      <c r="A52" s="47">
        <v>59</v>
      </c>
      <c r="G52" s="42"/>
    </row>
    <row r="53" spans="1:11">
      <c r="A53" s="47">
        <v>60</v>
      </c>
      <c r="B53" s="4" t="s">
        <v>27</v>
      </c>
      <c r="G53" s="42"/>
    </row>
    <row r="54" spans="1:11">
      <c r="A54" s="47">
        <v>61</v>
      </c>
      <c r="C54" s="1" t="str">
        <f>+'New Year-Full Year'!C60</f>
        <v>Stewardship</v>
      </c>
      <c r="E54" s="40">
        <f>+'New Year-Full Year'!O60</f>
        <v>200</v>
      </c>
      <c r="F54" s="40">
        <f>+'New Year-Full Year'!P60</f>
        <v>200</v>
      </c>
      <c r="G54" s="6">
        <f t="shared" ref="G54:G61" si="9">IF(F54=0,"NA",(+E54-F54)/F54)</f>
        <v>0</v>
      </c>
      <c r="I54" s="40">
        <f>+'New Year-Full Year'!T60</f>
        <v>0</v>
      </c>
      <c r="J54" s="40">
        <f>+'New Year-Full Year'!U60</f>
        <v>200</v>
      </c>
      <c r="K54" s="6">
        <f t="shared" ref="K54:K61" si="10">IF(J54=0,"NA",(+I54-J54)/J54)</f>
        <v>-1</v>
      </c>
    </row>
    <row r="55" spans="1:11">
      <c r="A55" s="47">
        <v>62</v>
      </c>
      <c r="C55" s="1" t="str">
        <f>+'New Year-Full Year'!C61</f>
        <v>Envelopes, Giving</v>
      </c>
      <c r="E55" s="40">
        <f>+'New Year-Full Year'!O61</f>
        <v>800</v>
      </c>
      <c r="F55" s="40">
        <f>+'New Year-Full Year'!P61</f>
        <v>800</v>
      </c>
      <c r="G55" s="6">
        <f t="shared" si="9"/>
        <v>0</v>
      </c>
      <c r="I55" s="40">
        <f>+'New Year-Full Year'!T61</f>
        <v>779</v>
      </c>
      <c r="J55" s="40">
        <f>+'New Year-Full Year'!U61</f>
        <v>800</v>
      </c>
      <c r="K55" s="6">
        <f t="shared" si="10"/>
        <v>-2.6249999999999999E-2</v>
      </c>
    </row>
    <row r="56" spans="1:11">
      <c r="A56" s="47">
        <v>63</v>
      </c>
      <c r="C56" s="1" t="str">
        <f>+'New Year-Full Year'!C62</f>
        <v>Synod Assembly</v>
      </c>
      <c r="E56" s="40">
        <f>+'New Year-Full Year'!O62</f>
        <v>1000</v>
      </c>
      <c r="F56" s="40">
        <f>+'New Year-Full Year'!P62</f>
        <v>1500</v>
      </c>
      <c r="G56" s="6">
        <f t="shared" si="9"/>
        <v>-0.33333333333333331</v>
      </c>
      <c r="I56" s="40">
        <f>+'New Year-Full Year'!T62</f>
        <v>918.16</v>
      </c>
      <c r="J56" s="40">
        <f>+'New Year-Full Year'!U62</f>
        <v>1500</v>
      </c>
      <c r="K56" s="6">
        <f t="shared" si="10"/>
        <v>-0.38789333333333337</v>
      </c>
    </row>
    <row r="57" spans="1:11">
      <c r="A57" s="47">
        <v>64</v>
      </c>
      <c r="C57" s="1" t="str">
        <f>+'New Year-Full Year'!C63</f>
        <v>Evangelism</v>
      </c>
      <c r="E57" s="40">
        <f>+'New Year-Full Year'!O63</f>
        <v>3000</v>
      </c>
      <c r="F57" s="40">
        <f>+'New Year-Full Year'!P63</f>
        <v>3000</v>
      </c>
      <c r="G57" s="6">
        <f t="shared" si="9"/>
        <v>0</v>
      </c>
      <c r="I57" s="40">
        <f>+'New Year-Full Year'!T63</f>
        <v>1728.11</v>
      </c>
      <c r="J57" s="40">
        <f>+'New Year-Full Year'!U63</f>
        <v>3000</v>
      </c>
      <c r="K57" s="6">
        <f t="shared" si="10"/>
        <v>-0.42396333333333336</v>
      </c>
    </row>
    <row r="58" spans="1:11">
      <c r="C58" s="1" t="str">
        <f>+'New Year-Full Year'!C64</f>
        <v>Misc Expenses</v>
      </c>
      <c r="E58" s="40">
        <f>+'New Year-Full Year'!O64</f>
        <v>200</v>
      </c>
      <c r="F58" s="40">
        <f>+'New Year-Full Year'!P64</f>
        <v>200</v>
      </c>
      <c r="G58" s="6">
        <f t="shared" ref="G58" si="11">IF(F58=0,"NA",(+E58-F58)/F58)</f>
        <v>0</v>
      </c>
      <c r="I58" s="40">
        <f>+'New Year-Full Year'!T64</f>
        <v>50</v>
      </c>
      <c r="J58" s="40">
        <f>+'New Year-Full Year'!U64</f>
        <v>200</v>
      </c>
      <c r="K58" s="6">
        <f t="shared" ref="K58" si="12">IF(J58=0,"NA",(+I58-J58)/J58)</f>
        <v>-0.75</v>
      </c>
    </row>
    <row r="59" spans="1:11">
      <c r="C59" s="1" t="str">
        <f>+'New Year-Full Year'!C65</f>
        <v>Internship</v>
      </c>
      <c r="E59" s="40">
        <f>+'New Year-Full Year'!O65</f>
        <v>0</v>
      </c>
      <c r="F59" s="40">
        <f>+'New Year-Full Year'!P65</f>
        <v>0</v>
      </c>
      <c r="G59" s="6" t="str">
        <f t="shared" ref="G59" si="13">IF(F59=0,"NA",(+E59-F59)/F59)</f>
        <v>NA</v>
      </c>
      <c r="I59" s="40">
        <f>+'New Year-Full Year'!T65</f>
        <v>221.01</v>
      </c>
      <c r="J59" s="40">
        <f>+'New Year-Full Year'!U65</f>
        <v>0</v>
      </c>
      <c r="K59" s="6" t="str">
        <f t="shared" ref="K59" si="14">IF(J59=0,"NA",(+I59-J59)/J59)</f>
        <v>NA</v>
      </c>
    </row>
    <row r="60" spans="1:11">
      <c r="A60" s="47">
        <v>65</v>
      </c>
      <c r="C60" s="1" t="str">
        <f>+'New Year-Full Year'!C66</f>
        <v>Organ/Piano Maintenance</v>
      </c>
      <c r="E60" s="40">
        <f>+'New Year-Full Year'!O66</f>
        <v>1575</v>
      </c>
      <c r="F60" s="40">
        <f>+'New Year-Full Year'!P66</f>
        <v>1000</v>
      </c>
      <c r="G60" s="6">
        <f t="shared" si="9"/>
        <v>0.57499999999999996</v>
      </c>
      <c r="I60" s="40">
        <f>+'New Year-Full Year'!T66</f>
        <v>1339.37</v>
      </c>
      <c r="J60" s="40">
        <f>+'New Year-Full Year'!U66</f>
        <v>1000</v>
      </c>
      <c r="K60" s="6">
        <f t="shared" si="10"/>
        <v>0.33936999999999989</v>
      </c>
    </row>
    <row r="61" spans="1:11" s="4" customFormat="1">
      <c r="A61" s="47">
        <v>66</v>
      </c>
      <c r="B61" s="39" t="s">
        <v>32</v>
      </c>
      <c r="C61" s="39"/>
      <c r="D61" s="39"/>
      <c r="E61" s="39">
        <f>SUM(E54:E60)</f>
        <v>6775</v>
      </c>
      <c r="F61" s="39">
        <f>SUM(F54:F60)</f>
        <v>6700</v>
      </c>
      <c r="G61" s="23">
        <f t="shared" si="9"/>
        <v>1.1194029850746268E-2</v>
      </c>
      <c r="I61" s="39">
        <f>SUM(I54:I60)</f>
        <v>5035.6499999999996</v>
      </c>
      <c r="J61" s="39">
        <f>SUM(J54:J60)</f>
        <v>6700</v>
      </c>
      <c r="K61" s="23">
        <f t="shared" si="10"/>
        <v>-0.24841044776119409</v>
      </c>
    </row>
    <row r="62" spans="1:11" ht="6" customHeight="1">
      <c r="A62" s="47">
        <v>67</v>
      </c>
      <c r="G62" s="42"/>
    </row>
    <row r="63" spans="1:11">
      <c r="A63" s="47">
        <v>68</v>
      </c>
      <c r="B63" s="4" t="s">
        <v>33</v>
      </c>
      <c r="G63" s="42"/>
    </row>
    <row r="64" spans="1:11">
      <c r="A64" s="47">
        <v>69</v>
      </c>
      <c r="C64" s="1" t="str">
        <f>+'New Year-Full Year'!C70</f>
        <v>Office Supplies</v>
      </c>
      <c r="E64" s="40">
        <f>+'New Year-Full Year'!O70</f>
        <v>3500</v>
      </c>
      <c r="F64" s="40">
        <f>+'New Year-Full Year'!P70</f>
        <v>3000</v>
      </c>
      <c r="G64" s="6">
        <f t="shared" ref="G64:G70" si="15">IF(F64=0,"NA",(+E64-F64)/F64)</f>
        <v>0.16666666666666666</v>
      </c>
      <c r="I64" s="40">
        <f>+'New Year-Full Year'!T70</f>
        <v>3777.45</v>
      </c>
      <c r="J64" s="40">
        <f>+'New Year-Full Year'!U70</f>
        <v>3000</v>
      </c>
      <c r="K64" s="6">
        <f t="shared" ref="K64:K70" si="16">IF(J64=0,"NA",(+I64-J64)/J64)</f>
        <v>0.25914999999999994</v>
      </c>
    </row>
    <row r="65" spans="1:12">
      <c r="A65" s="47">
        <v>70</v>
      </c>
      <c r="C65" s="1" t="str">
        <f>+'New Year-Full Year'!C71</f>
        <v>Postage</v>
      </c>
      <c r="E65" s="40">
        <f>+'New Year-Full Year'!O71</f>
        <v>3250</v>
      </c>
      <c r="F65" s="40">
        <f>+'New Year-Full Year'!P71</f>
        <v>3250</v>
      </c>
      <c r="G65" s="6">
        <f t="shared" si="15"/>
        <v>0</v>
      </c>
      <c r="I65" s="40">
        <f>+'New Year-Full Year'!T71</f>
        <v>3541.51</v>
      </c>
      <c r="J65" s="40">
        <f>+'New Year-Full Year'!U71</f>
        <v>3250</v>
      </c>
      <c r="K65" s="6">
        <f t="shared" si="16"/>
        <v>8.9695384615384677E-2</v>
      </c>
    </row>
    <row r="66" spans="1:12">
      <c r="A66" s="47">
        <v>73</v>
      </c>
      <c r="C66" s="1" t="str">
        <f>+'New Year-Full Year'!C72</f>
        <v>Office Equipment/Computer</v>
      </c>
      <c r="E66" s="40">
        <f>+'New Year-Full Year'!O72</f>
        <v>13000</v>
      </c>
      <c r="F66" s="40">
        <f>+'New Year-Full Year'!P72</f>
        <v>13000</v>
      </c>
      <c r="G66" s="6">
        <f t="shared" si="15"/>
        <v>0</v>
      </c>
      <c r="I66" s="40">
        <f>+'New Year-Full Year'!T72</f>
        <v>17118.330000000002</v>
      </c>
      <c r="J66" s="40">
        <f>+'New Year-Full Year'!U72</f>
        <v>13000</v>
      </c>
      <c r="K66" s="6">
        <f t="shared" si="16"/>
        <v>0.31679461538461551</v>
      </c>
    </row>
    <row r="67" spans="1:12">
      <c r="A67" s="47">
        <v>74</v>
      </c>
      <c r="C67" s="1" t="str">
        <f>+'New Year-Full Year'!C73</f>
        <v>Kitchen Supplies</v>
      </c>
      <c r="E67" s="40">
        <f>+'New Year-Full Year'!O73</f>
        <v>1000</v>
      </c>
      <c r="F67" s="40">
        <f>+'New Year-Full Year'!P73</f>
        <v>700</v>
      </c>
      <c r="G67" s="6">
        <f t="shared" si="15"/>
        <v>0.42857142857142855</v>
      </c>
      <c r="I67" s="40">
        <f>+'New Year-Full Year'!T73</f>
        <v>1285.72</v>
      </c>
      <c r="J67" s="40">
        <f>+'New Year-Full Year'!U73</f>
        <v>700</v>
      </c>
      <c r="K67" s="6">
        <f t="shared" si="16"/>
        <v>0.83674285714285723</v>
      </c>
    </row>
    <row r="68" spans="1:12">
      <c r="A68" s="47">
        <v>75</v>
      </c>
      <c r="C68" s="1" t="str">
        <f>+'New Year-Full Year'!C74</f>
        <v>Bank Fees</v>
      </c>
      <c r="E68" s="40">
        <f>+'New Year-Full Year'!O74</f>
        <v>1700</v>
      </c>
      <c r="F68" s="40">
        <f>+'New Year-Full Year'!P74</f>
        <v>1000</v>
      </c>
      <c r="G68" s="6">
        <f t="shared" si="15"/>
        <v>0.7</v>
      </c>
      <c r="I68" s="40">
        <f>+'New Year-Full Year'!T74</f>
        <v>1494.21</v>
      </c>
      <c r="J68" s="40">
        <f>+'New Year-Full Year'!U74</f>
        <v>1000</v>
      </c>
      <c r="K68" s="6">
        <f t="shared" si="16"/>
        <v>0.49421000000000004</v>
      </c>
    </row>
    <row r="69" spans="1:12" s="4" customFormat="1">
      <c r="A69" s="47">
        <v>76</v>
      </c>
      <c r="B69" s="39" t="s">
        <v>40</v>
      </c>
      <c r="C69" s="39"/>
      <c r="D69" s="39"/>
      <c r="E69" s="39">
        <f>SUM(E64:E68)</f>
        <v>22450</v>
      </c>
      <c r="F69" s="39">
        <f>SUM(F64:F68)</f>
        <v>20950</v>
      </c>
      <c r="G69" s="23">
        <f t="shared" si="15"/>
        <v>7.1599045346062054E-2</v>
      </c>
      <c r="I69" s="39">
        <f>SUM(I64:I68)</f>
        <v>27217.22</v>
      </c>
      <c r="J69" s="39">
        <f>SUM(J64:J68)</f>
        <v>20950</v>
      </c>
      <c r="K69" s="23">
        <f t="shared" si="16"/>
        <v>0.29915131264916472</v>
      </c>
    </row>
    <row r="70" spans="1:12">
      <c r="A70" s="47">
        <v>77</v>
      </c>
      <c r="B70" s="39" t="s">
        <v>93</v>
      </c>
      <c r="C70" s="25"/>
      <c r="D70" s="25"/>
      <c r="E70" s="39">
        <f>+E36+E42+E44+E51+E61+E69+E49</f>
        <v>52525</v>
      </c>
      <c r="F70" s="39">
        <f>+F36+F42+F44+F51+F61+F69+F49</f>
        <v>51350</v>
      </c>
      <c r="G70" s="23">
        <f t="shared" si="15"/>
        <v>2.2882181110029213E-2</v>
      </c>
      <c r="I70" s="39">
        <f>+I36+I42+I44+I51+I61+I69+I49</f>
        <v>52517.979999999996</v>
      </c>
      <c r="J70" s="39">
        <f>+J36+J42+J44+J51+J61+J69+J49</f>
        <v>51350</v>
      </c>
      <c r="K70" s="23">
        <f t="shared" si="16"/>
        <v>2.2745472249269639E-2</v>
      </c>
    </row>
    <row r="71" spans="1:12" ht="8.25" customHeight="1">
      <c r="A71" s="47">
        <v>78</v>
      </c>
      <c r="G71" s="42"/>
    </row>
    <row r="72" spans="1:12" ht="18.5">
      <c r="A72" s="47">
        <v>79</v>
      </c>
      <c r="B72" s="9" t="s">
        <v>39</v>
      </c>
      <c r="G72" s="42"/>
    </row>
    <row r="73" spans="1:12">
      <c r="A73" s="47">
        <v>81</v>
      </c>
      <c r="C73" s="509" t="s">
        <v>222</v>
      </c>
      <c r="D73" s="509"/>
      <c r="E73" s="40">
        <f>+'New Year-Full Year'!O$80+'New Year-Full Year'!O$93+'New Year-Full Year'!O$102+'New Year-Full Year'!O$109+'New Year-Full Year'!O$112+'New Year-Full Year'!O$132+SUM('New Year-Full Year'!O$135:O$138)+SUM('New Year-Full Year'!O$143:O$145)+'New Year-Full Year'!O$148</f>
        <v>274319</v>
      </c>
      <c r="F73" s="40">
        <f>+'New Year-Full Year'!P$80+'New Year-Full Year'!P$93+'New Year-Full Year'!P$102+'New Year-Full Year'!P$109+'New Year-Full Year'!P$112+'New Year-Full Year'!P$132+SUM('New Year-Full Year'!P$135:P$138)+SUM('New Year-Full Year'!P$143:P$145)+'New Year-Full Year'!P$148</f>
        <v>258280.91666666669</v>
      </c>
      <c r="G73" s="6">
        <f>IF(F73=0,"NA",(+E73-F73)/F73)</f>
        <v>6.2095502603592714E-2</v>
      </c>
      <c r="I73" s="40">
        <f>+'New Year-Full Year'!T$80+'New Year-Full Year'!T$93+'New Year-Full Year'!T$102+'New Year-Full Year'!T$109+'New Year-Full Year'!T$112+'New Year-Full Year'!T$132+SUM('New Year-Full Year'!T$135:T$138)+SUM('New Year-Full Year'!T$143:T$145)+'New Year-Full Year'!T$148</f>
        <v>239974.86</v>
      </c>
      <c r="J73" s="40">
        <f>+'New Year-Full Year'!U$80+'New Year-Full Year'!U$93+'New Year-Full Year'!U$102+'New Year-Full Year'!U$109+'New Year-Full Year'!U$112+'New Year-Full Year'!U$132+SUM('New Year-Full Year'!U$135:U$138)+SUM('New Year-Full Year'!U$143:U$145)+'New Year-Full Year'!U$148</f>
        <v>258281.52000000002</v>
      </c>
      <c r="K73" s="6">
        <f t="shared" ref="K73:K76" si="17">IF(J73=0,"NA",(+I73-J73)/J73)</f>
        <v>-7.0878706304655606E-2</v>
      </c>
    </row>
    <row r="74" spans="1:12">
      <c r="A74" s="47">
        <v>83</v>
      </c>
      <c r="C74" s="1" t="s">
        <v>106</v>
      </c>
      <c r="E74" s="40">
        <f>SUM('New Year-Full Year'!O82:O86)+'New Year-Full Year'!O89+'New Year-Full Year'!O94+SUM('New Year-Full Year'!O113:O115)+'New Year-Full Year'!O118+'New Year-Full Year'!O146+'New Year-Full Year'!O147</f>
        <v>43819.380499999999</v>
      </c>
      <c r="F74" s="40">
        <f>SUM('New Year-Full Year'!P82:P86)+'New Year-Full Year'!P89+'New Year-Full Year'!P94+SUM('New Year-Full Year'!P113:P115)+'New Year-Full Year'!P118+'New Year-Full Year'!P146+'New Year-Full Year'!P147</f>
        <v>52469.926743750009</v>
      </c>
      <c r="G74" s="6">
        <f>IF(F74=0,"NA",(+E74-F74)/F74)</f>
        <v>-0.16486674902362858</v>
      </c>
      <c r="I74" s="40">
        <f>SUM('New Year-Full Year'!T82:T86)+'New Year-Full Year'!T89+'New Year-Full Year'!T94+'New Year-Full Year'!T95+SUM('New Year-Full Year'!T113:T115)+'New Year-Full Year'!T118+'New Year-Full Year'!T146+'New Year-Full Year'!T147</f>
        <v>43325.039999999994</v>
      </c>
      <c r="J74" s="40">
        <f>SUM('New Year-Full Year'!U82:U86)+'New Year-Full Year'!U89+'New Year-Full Year'!U94+'New Year-Full Year'!U95+SUM('New Year-Full Year'!U113:U115)+'New Year-Full Year'!U118+'New Year-Full Year'!U146+'New Year-Full Year'!U147</f>
        <v>52470</v>
      </c>
      <c r="K74" s="6">
        <f t="shared" si="17"/>
        <v>-0.17428930817610075</v>
      </c>
      <c r="L74" s="376"/>
    </row>
    <row r="75" spans="1:12">
      <c r="A75" s="47">
        <v>84</v>
      </c>
      <c r="C75" s="1" t="s">
        <v>314</v>
      </c>
      <c r="E75" s="40">
        <f>+'New Year-Full Year'!O81+'New Year-Full Year'!O87+'New Year-Full Year'!O88+SUM('New Year-Full Year'!O95:O98)+'New Year-Full Year'!O103+'New Year-Full Year'!O116+'New Year-Full Year'!O117+'New Year-Full Year'!O141+'New Year-Full Year'!O142</f>
        <v>8010</v>
      </c>
      <c r="F75" s="40">
        <f>+'New Year-Full Year'!P81+'New Year-Full Year'!P87+'New Year-Full Year'!P88+SUM('New Year-Full Year'!P95:P98)+'New Year-Full Year'!P103+'New Year-Full Year'!P116+'New Year-Full Year'!P117+'New Year-Full Year'!P141+'New Year-Full Year'!P142</f>
        <v>5050</v>
      </c>
      <c r="G75" s="6">
        <f>IF(F75=0,"NA",(+E75-F75)/F75)</f>
        <v>0.5861386138613861</v>
      </c>
      <c r="I75" s="40">
        <f>+'New Year-Full Year'!T81+'New Year-Full Year'!T87+'New Year-Full Year'!T88+SUM('New Year-Full Year'!T96:T98)+'New Year-Full Year'!T103+'New Year-Full Year'!T116+'New Year-Full Year'!T117+'New Year-Full Year'!T141+'New Year-Full Year'!T142</f>
        <v>2201.8000000000002</v>
      </c>
      <c r="J75" s="40">
        <f>+'New Year-Full Year'!U81+'New Year-Full Year'!U87+'New Year-Full Year'!U88+SUM('New Year-Full Year'!U96:U98)+'New Year-Full Year'!U103+'New Year-Full Year'!U116+'New Year-Full Year'!U117+'New Year-Full Year'!U141+'New Year-Full Year'!U142</f>
        <v>5050</v>
      </c>
      <c r="K75" s="6">
        <f t="shared" si="17"/>
        <v>-0.56399999999999995</v>
      </c>
    </row>
    <row r="76" spans="1:12" s="4" customFormat="1">
      <c r="A76" s="47">
        <v>86</v>
      </c>
      <c r="B76" s="26" t="s">
        <v>109</v>
      </c>
      <c r="C76" s="26"/>
      <c r="D76" s="26"/>
      <c r="E76" s="26">
        <f>SUM(E73:E75)</f>
        <v>326148.38049999997</v>
      </c>
      <c r="F76" s="26">
        <f>SUM(F73:F75)</f>
        <v>315800.84341041668</v>
      </c>
      <c r="G76" s="27">
        <f>IF(F76=0,"NA",(+E76-F76)/F76)</f>
        <v>3.2766021071500333E-2</v>
      </c>
      <c r="I76" s="26">
        <f>SUM(I73:I75)</f>
        <v>285501.69999999995</v>
      </c>
      <c r="J76" s="26">
        <f>SUM(J73:J75)</f>
        <v>315801.52</v>
      </c>
      <c r="K76" s="27">
        <f t="shared" si="17"/>
        <v>-9.5945769988694363E-2</v>
      </c>
      <c r="L76" s="377"/>
    </row>
    <row r="77" spans="1:12" ht="8.25" customHeight="1">
      <c r="A77" s="47">
        <v>129</v>
      </c>
      <c r="G77" s="42"/>
    </row>
    <row r="78" spans="1:12" ht="18.5">
      <c r="A78" s="47">
        <v>130</v>
      </c>
      <c r="B78" s="9" t="s">
        <v>64</v>
      </c>
      <c r="G78" s="42"/>
    </row>
    <row r="79" spans="1:12">
      <c r="A79" s="47">
        <v>131</v>
      </c>
      <c r="B79" s="4" t="s">
        <v>65</v>
      </c>
      <c r="G79" s="42"/>
    </row>
    <row r="80" spans="1:12">
      <c r="A80" s="47">
        <v>132</v>
      </c>
      <c r="C80" s="1" t="str">
        <f>+'New Year-Full Year'!C154</f>
        <v>Electric</v>
      </c>
      <c r="E80" s="40">
        <f>+'New Year-Full Year'!O154</f>
        <v>10500</v>
      </c>
      <c r="F80" s="40">
        <f>+'New Year-Full Year'!P154</f>
        <v>8400</v>
      </c>
      <c r="G80" s="6">
        <f t="shared" ref="G80:G87" si="18">IF(F80=0,"NA",(+E80-F80)/F80)</f>
        <v>0.25</v>
      </c>
      <c r="I80" s="40">
        <f>+'New Year-Full Year'!T154</f>
        <v>10454.19</v>
      </c>
      <c r="J80" s="40">
        <f>+'New Year-Full Year'!U154</f>
        <v>8400</v>
      </c>
      <c r="K80" s="6">
        <f t="shared" ref="K80:K87" si="19">IF(J80=0,"NA",(+I80-J80)/J80)</f>
        <v>0.24454642857142864</v>
      </c>
    </row>
    <row r="81" spans="1:11">
      <c r="A81" s="47">
        <v>133</v>
      </c>
      <c r="C81" s="1" t="str">
        <f>+'New Year-Full Year'!C155</f>
        <v>Gas</v>
      </c>
      <c r="E81" s="40">
        <f>+'New Year-Full Year'!O155</f>
        <v>8160</v>
      </c>
      <c r="F81" s="40">
        <f>+'New Year-Full Year'!P155</f>
        <v>8000</v>
      </c>
      <c r="G81" s="6">
        <f t="shared" si="18"/>
        <v>0.02</v>
      </c>
      <c r="I81" s="40">
        <f>+'New Year-Full Year'!T155</f>
        <v>8041.28</v>
      </c>
      <c r="J81" s="40">
        <f>+'New Year-Full Year'!U155</f>
        <v>8000</v>
      </c>
      <c r="K81" s="6">
        <f t="shared" si="19"/>
        <v>5.1599999999999684E-3</v>
      </c>
    </row>
    <row r="82" spans="1:11">
      <c r="A82" s="47">
        <v>134</v>
      </c>
      <c r="C82" s="1" t="str">
        <f>+'New Year-Full Year'!C156</f>
        <v>Telephone (and Internet)</v>
      </c>
      <c r="E82" s="40">
        <f>+'New Year-Full Year'!O156</f>
        <v>4500</v>
      </c>
      <c r="F82" s="40">
        <f>+'New Year-Full Year'!P156</f>
        <v>5000</v>
      </c>
      <c r="G82" s="6">
        <f t="shared" si="18"/>
        <v>-0.1</v>
      </c>
      <c r="I82" s="40">
        <f>+'New Year-Full Year'!T156</f>
        <v>5399.45</v>
      </c>
      <c r="J82" s="40">
        <f>+'New Year-Full Year'!U156</f>
        <v>5000</v>
      </c>
      <c r="K82" s="6">
        <f t="shared" si="19"/>
        <v>7.9889999999999961E-2</v>
      </c>
    </row>
    <row r="83" spans="1:11">
      <c r="A83" s="47">
        <v>135</v>
      </c>
      <c r="C83" s="1" t="str">
        <f>+'New Year-Full Year'!C157</f>
        <v>Water</v>
      </c>
      <c r="E83" s="40">
        <f>+'New Year-Full Year'!O157</f>
        <v>816</v>
      </c>
      <c r="F83" s="40">
        <f>+'New Year-Full Year'!P157</f>
        <v>800</v>
      </c>
      <c r="G83" s="6">
        <f t="shared" si="18"/>
        <v>0.02</v>
      </c>
      <c r="I83" s="40">
        <f>+'New Year-Full Year'!T157</f>
        <v>846.17</v>
      </c>
      <c r="J83" s="40">
        <f>+'New Year-Full Year'!U157</f>
        <v>800</v>
      </c>
      <c r="K83" s="6">
        <f t="shared" si="19"/>
        <v>5.7712499999999951E-2</v>
      </c>
    </row>
    <row r="84" spans="1:11">
      <c r="A84" s="47">
        <v>136</v>
      </c>
      <c r="C84" s="1" t="str">
        <f>+'New Year-Full Year'!C158</f>
        <v>Security</v>
      </c>
      <c r="E84" s="40">
        <f>+'New Year-Full Year'!O158</f>
        <v>300</v>
      </c>
      <c r="F84" s="40">
        <f>+'New Year-Full Year'!P158</f>
        <v>300</v>
      </c>
      <c r="G84" s="6">
        <f t="shared" si="18"/>
        <v>0</v>
      </c>
      <c r="I84" s="40">
        <f>+'New Year-Full Year'!T158</f>
        <v>680.37</v>
      </c>
      <c r="J84" s="40">
        <f>+'New Year-Full Year'!U158</f>
        <v>300</v>
      </c>
      <c r="K84" s="6">
        <f t="shared" si="19"/>
        <v>1.2679</v>
      </c>
    </row>
    <row r="85" spans="1:11">
      <c r="A85" s="47">
        <v>137</v>
      </c>
      <c r="C85" s="1" t="str">
        <f>+'New Year-Full Year'!C159</f>
        <v>Cell Phone</v>
      </c>
      <c r="E85" s="40">
        <f>+'New Year-Full Year'!O159</f>
        <v>600</v>
      </c>
      <c r="F85" s="40">
        <f>+'New Year-Full Year'!P159</f>
        <v>2000</v>
      </c>
      <c r="G85" s="6">
        <f t="shared" si="18"/>
        <v>-0.7</v>
      </c>
      <c r="I85" s="40">
        <f>+'New Year-Full Year'!T159</f>
        <v>1674.62</v>
      </c>
      <c r="J85" s="40">
        <f>+'New Year-Full Year'!U159</f>
        <v>2000</v>
      </c>
      <c r="K85" s="6">
        <f t="shared" si="19"/>
        <v>-0.16269000000000006</v>
      </c>
    </row>
    <row r="86" spans="1:11">
      <c r="A86" s="47">
        <v>138</v>
      </c>
      <c r="C86" s="1" t="str">
        <f>+'New Year-Full Year'!C160</f>
        <v>City Assessment</v>
      </c>
      <c r="E86" s="40">
        <f>+'New Year-Full Year'!O160</f>
        <v>4500</v>
      </c>
      <c r="F86" s="40">
        <f>+'New Year-Full Year'!P160</f>
        <v>4500</v>
      </c>
      <c r="G86" s="6">
        <f t="shared" si="18"/>
        <v>0</v>
      </c>
      <c r="I86" s="40">
        <f>+'New Year-Full Year'!T160</f>
        <v>4242.25</v>
      </c>
      <c r="J86" s="40">
        <f>+'New Year-Full Year'!U160</f>
        <v>4500</v>
      </c>
      <c r="K86" s="6">
        <f t="shared" si="19"/>
        <v>-5.7277777777777775E-2</v>
      </c>
    </row>
    <row r="87" spans="1:11" s="4" customFormat="1">
      <c r="A87" s="47">
        <v>139</v>
      </c>
      <c r="B87" s="29" t="s">
        <v>73</v>
      </c>
      <c r="C87" s="29"/>
      <c r="D87" s="29"/>
      <c r="E87" s="29">
        <f>SUM(E80:E86)</f>
        <v>29376</v>
      </c>
      <c r="F87" s="29">
        <f>SUM(F80:F86)</f>
        <v>29000</v>
      </c>
      <c r="G87" s="30">
        <f t="shared" si="18"/>
        <v>1.296551724137931E-2</v>
      </c>
      <c r="I87" s="29">
        <f>SUM(I80:I86)</f>
        <v>31338.329999999998</v>
      </c>
      <c r="J87" s="29">
        <f>SUM(J80:J86)</f>
        <v>29000</v>
      </c>
      <c r="K87" s="30">
        <f t="shared" si="19"/>
        <v>8.0632068965517181E-2</v>
      </c>
    </row>
    <row r="88" spans="1:11" s="4" customFormat="1" ht="6.75" customHeight="1">
      <c r="A88" s="47">
        <v>140</v>
      </c>
      <c r="B88" s="17"/>
      <c r="C88" s="17"/>
      <c r="D88" s="17"/>
      <c r="E88" s="17"/>
      <c r="F88" s="17"/>
      <c r="G88" s="20"/>
      <c r="I88" s="17"/>
      <c r="J88" s="17"/>
      <c r="K88" s="20"/>
    </row>
    <row r="89" spans="1:11">
      <c r="A89" s="47">
        <v>141</v>
      </c>
      <c r="B89" s="4" t="s">
        <v>74</v>
      </c>
      <c r="G89" s="42"/>
    </row>
    <row r="90" spans="1:11">
      <c r="A90" s="47">
        <v>142</v>
      </c>
      <c r="C90" s="1" t="str">
        <f>+'New Year-Full Year'!C164</f>
        <v>Insurance</v>
      </c>
      <c r="E90" s="40">
        <f>+'New Year-Full Year'!O164</f>
        <v>16899.940000000002</v>
      </c>
      <c r="F90" s="40">
        <f>+'New Year-Full Year'!P164</f>
        <v>14821</v>
      </c>
      <c r="G90" s="6">
        <f t="shared" ref="G90:G97" si="20">IF(F90=0,"NA",(+E90-F90)/F90)</f>
        <v>0.14026988732204321</v>
      </c>
      <c r="I90" s="40">
        <f>+'New Year-Full Year'!T164</f>
        <v>15945.5</v>
      </c>
      <c r="J90" s="40">
        <f>+'New Year-Full Year'!U164</f>
        <v>14821</v>
      </c>
      <c r="K90" s="6">
        <f t="shared" ref="K90:K97" si="21">IF(J90=0,"NA",(+I90-J90)/J90)</f>
        <v>7.5872073409351592E-2</v>
      </c>
    </row>
    <row r="91" spans="1:11">
      <c r="A91" s="47">
        <v>143</v>
      </c>
      <c r="C91" s="1" t="str">
        <f>+'New Year-Full Year'!C165</f>
        <v>Snow Removal</v>
      </c>
      <c r="E91" s="40">
        <f>+'New Year-Full Year'!O165</f>
        <v>4500</v>
      </c>
      <c r="F91" s="40">
        <f>+'New Year-Full Year'!P165</f>
        <v>4000</v>
      </c>
      <c r="G91" s="6">
        <f t="shared" si="20"/>
        <v>0.125</v>
      </c>
      <c r="I91" s="40">
        <f>+'New Year-Full Year'!T165</f>
        <v>5446.5</v>
      </c>
      <c r="J91" s="40">
        <f>+'New Year-Full Year'!U165</f>
        <v>4000</v>
      </c>
      <c r="K91" s="6">
        <f t="shared" si="21"/>
        <v>0.36162499999999997</v>
      </c>
    </row>
    <row r="92" spans="1:11">
      <c r="A92" s="47">
        <v>144</v>
      </c>
      <c r="C92" s="1" t="str">
        <f>+'New Year-Full Year'!C166</f>
        <v>Maint.  Supplies</v>
      </c>
      <c r="E92" s="40">
        <f>+'New Year-Full Year'!O166</f>
        <v>4000</v>
      </c>
      <c r="F92" s="40">
        <f>+'New Year-Full Year'!P166</f>
        <v>4000</v>
      </c>
      <c r="G92" s="6">
        <f t="shared" si="20"/>
        <v>0</v>
      </c>
      <c r="I92" s="40">
        <f>+'New Year-Full Year'!T166</f>
        <v>4403.93</v>
      </c>
      <c r="J92" s="40">
        <f>+'New Year-Full Year'!U166</f>
        <v>4000</v>
      </c>
      <c r="K92" s="6">
        <f t="shared" si="21"/>
        <v>0.10098250000000007</v>
      </c>
    </row>
    <row r="93" spans="1:11" ht="15" customHeight="1">
      <c r="A93" s="47">
        <v>145</v>
      </c>
      <c r="C93" s="1" t="str">
        <f>+'New Year-Full Year'!C167</f>
        <v>Maintenance Contracts</v>
      </c>
      <c r="D93" s="86"/>
      <c r="E93" s="40">
        <f>+'New Year-Full Year'!O167</f>
        <v>8000</v>
      </c>
      <c r="F93" s="40">
        <f>+'New Year-Full Year'!P167</f>
        <v>3500</v>
      </c>
      <c r="G93" s="6">
        <f t="shared" si="20"/>
        <v>1.2857142857142858</v>
      </c>
      <c r="I93" s="40">
        <f>+'New Year-Full Year'!T167</f>
        <v>5420.17</v>
      </c>
      <c r="J93" s="40">
        <f>+'New Year-Full Year'!U167</f>
        <v>3500</v>
      </c>
      <c r="K93" s="6">
        <f t="shared" si="21"/>
        <v>0.54862</v>
      </c>
    </row>
    <row r="94" spans="1:11">
      <c r="A94" s="47">
        <v>146</v>
      </c>
      <c r="C94" s="1" t="str">
        <f>+'New Year-Full Year'!C168</f>
        <v>Building Repairs</v>
      </c>
      <c r="E94" s="40">
        <f>+'New Year-Full Year'!O168</f>
        <v>8000</v>
      </c>
      <c r="F94" s="40">
        <f>+'New Year-Full Year'!P168</f>
        <v>7500</v>
      </c>
      <c r="G94" s="6">
        <f t="shared" si="20"/>
        <v>6.6666666666666666E-2</v>
      </c>
      <c r="I94" s="40">
        <f>+'New Year-Full Year'!T168</f>
        <v>13311.75</v>
      </c>
      <c r="J94" s="40">
        <f>+'New Year-Full Year'!U168</f>
        <v>7500</v>
      </c>
      <c r="K94" s="6">
        <f t="shared" si="21"/>
        <v>0.77490000000000003</v>
      </c>
    </row>
    <row r="95" spans="1:11">
      <c r="A95" s="47">
        <v>149</v>
      </c>
      <c r="C95" s="1" t="str">
        <f>+'New Year-Full Year'!C169</f>
        <v>Interest-Line of Credit</v>
      </c>
      <c r="E95" s="40">
        <f>+'New Year-Full Year'!O169</f>
        <v>0</v>
      </c>
      <c r="F95" s="40">
        <f>+'New Year-Full Year'!P169</f>
        <v>0</v>
      </c>
      <c r="G95" s="6" t="str">
        <f t="shared" si="20"/>
        <v>NA</v>
      </c>
      <c r="I95" s="40">
        <f>+'New Year-Full Year'!T169</f>
        <v>0</v>
      </c>
      <c r="J95" s="40">
        <f>+'New Year-Full Year'!U169</f>
        <v>0</v>
      </c>
      <c r="K95" s="6" t="str">
        <f t="shared" si="21"/>
        <v>NA</v>
      </c>
    </row>
    <row r="96" spans="1:11" s="4" customFormat="1">
      <c r="A96" s="47">
        <v>150</v>
      </c>
      <c r="B96" s="29" t="s">
        <v>79</v>
      </c>
      <c r="C96" s="29"/>
      <c r="D96" s="29"/>
      <c r="E96" s="29">
        <f>SUM(E90:E95)</f>
        <v>41399.94</v>
      </c>
      <c r="F96" s="29">
        <f>SUM(F90:F95)</f>
        <v>33821</v>
      </c>
      <c r="G96" s="30">
        <f t="shared" si="20"/>
        <v>0.22408976671298905</v>
      </c>
      <c r="I96" s="29">
        <f>SUM(I90:I95)</f>
        <v>44527.85</v>
      </c>
      <c r="J96" s="29">
        <f>SUM(J90:J95)</f>
        <v>33821</v>
      </c>
      <c r="K96" s="30">
        <f t="shared" si="21"/>
        <v>0.31657402205730162</v>
      </c>
    </row>
    <row r="97" spans="1:11">
      <c r="A97" s="47">
        <v>151</v>
      </c>
      <c r="B97" s="29" t="s">
        <v>80</v>
      </c>
      <c r="C97" s="29"/>
      <c r="D97" s="29"/>
      <c r="E97" s="29">
        <f>+E87+E96</f>
        <v>70775.94</v>
      </c>
      <c r="F97" s="29">
        <f>+F87+F96</f>
        <v>62821</v>
      </c>
      <c r="G97" s="30">
        <f t="shared" si="20"/>
        <v>0.1266286751245603</v>
      </c>
      <c r="I97" s="29">
        <f>+I87+I96</f>
        <v>75866.179999999993</v>
      </c>
      <c r="J97" s="29">
        <f>+J87+J96</f>
        <v>62821</v>
      </c>
      <c r="K97" s="30">
        <f t="shared" si="21"/>
        <v>0.20765635695070109</v>
      </c>
    </row>
    <row r="98" spans="1:11" ht="4.5" customHeight="1">
      <c r="A98" s="47">
        <v>152</v>
      </c>
      <c r="G98" s="42"/>
    </row>
    <row r="99" spans="1:11" ht="18.5">
      <c r="A99" s="47">
        <v>153</v>
      </c>
      <c r="B99" s="9" t="s">
        <v>81</v>
      </c>
      <c r="G99" s="42"/>
    </row>
    <row r="100" spans="1:11">
      <c r="A100" s="47">
        <v>154</v>
      </c>
      <c r="B100" s="4" t="s">
        <v>82</v>
      </c>
      <c r="G100" s="42"/>
    </row>
    <row r="101" spans="1:11">
      <c r="A101" s="47">
        <v>155</v>
      </c>
      <c r="C101" s="1" t="str">
        <f>'New Year-Full Year'!C175</f>
        <v>Operating Fund Reserve</v>
      </c>
      <c r="E101" s="40">
        <f>SUM('New Year-Full Year'!O175:O175)</f>
        <v>0</v>
      </c>
      <c r="F101" s="40">
        <f>SUM('New Year-Full Year'!P175:P175)</f>
        <v>0</v>
      </c>
      <c r="G101" s="6" t="str">
        <f t="shared" ref="G101:G107" si="22">IF(F101=0,"NA",(+E101-F101)/F101)</f>
        <v>NA</v>
      </c>
      <c r="I101" s="40">
        <f>SUM('New Year-Full Year'!T175:T175)</f>
        <v>50586.47</v>
      </c>
      <c r="J101" s="40">
        <f>SUM('New Year-Full Year'!U175:U175)</f>
        <v>0</v>
      </c>
      <c r="K101" s="6" t="str">
        <f t="shared" ref="K101:K107" si="23">IF(J101=0,"NA",(+I101-J101)/J101)</f>
        <v>NA</v>
      </c>
    </row>
    <row r="102" spans="1:11">
      <c r="C102" s="1" t="str">
        <f>'New Year-Full Year'!C176</f>
        <v>Pastor Transition</v>
      </c>
      <c r="E102" s="40">
        <f>SUM('New Year-Full Year'!O176:O176)</f>
        <v>0</v>
      </c>
      <c r="F102" s="40">
        <f>SUM('New Year-Full Year'!P176:P176)</f>
        <v>0</v>
      </c>
      <c r="G102" s="6" t="str">
        <f t="shared" ref="G102" si="24">IF(F102=0,"NA",(+E102-F102)/F102)</f>
        <v>NA</v>
      </c>
      <c r="I102" s="40">
        <f>SUM('New Year-Full Year'!T176:T176)</f>
        <v>148.38</v>
      </c>
      <c r="J102" s="40">
        <f>SUM('New Year-Full Year'!U176:U176)</f>
        <v>0</v>
      </c>
      <c r="K102" s="6" t="str">
        <f t="shared" ref="K102" si="25">IF(J102=0,"NA",(+I102-J102)/J102)</f>
        <v>NA</v>
      </c>
    </row>
    <row r="103" spans="1:11">
      <c r="A103" s="47">
        <v>156</v>
      </c>
      <c r="C103" s="1" t="str">
        <f>'New Year-Full Year'!C177</f>
        <v>Facilities Fund Reserve</v>
      </c>
      <c r="E103" s="40">
        <f>+'New Year-Full Year'!O177</f>
        <v>12000</v>
      </c>
      <c r="F103" s="40">
        <f>+'New Year-Full Year'!P177</f>
        <v>24378</v>
      </c>
      <c r="G103" s="6">
        <f t="shared" si="22"/>
        <v>-0.50775289195175977</v>
      </c>
      <c r="I103" s="40">
        <f>+'New Year-Full Year'!T177</f>
        <v>0</v>
      </c>
      <c r="J103" s="40">
        <f>+'New Year-Full Year'!U177</f>
        <v>24378</v>
      </c>
      <c r="K103" s="6">
        <f t="shared" si="23"/>
        <v>-1</v>
      </c>
    </row>
    <row r="104" spans="1:11">
      <c r="A104" s="47">
        <v>157</v>
      </c>
      <c r="C104" s="1" t="str">
        <f>'New Year-Full Year'!C178</f>
        <v>Facilities Maintenance</v>
      </c>
      <c r="E104" s="40">
        <f>+'New Year-Full Year'!O178</f>
        <v>521</v>
      </c>
      <c r="F104" s="40">
        <f>+'New Year-Full Year'!P178</f>
        <v>5000</v>
      </c>
      <c r="G104" s="6">
        <f t="shared" si="22"/>
        <v>-0.89580000000000004</v>
      </c>
      <c r="I104" s="40">
        <f>+'New Year-Full Year'!T178</f>
        <v>0</v>
      </c>
      <c r="J104" s="40">
        <f>+'New Year-Full Year'!U178</f>
        <v>5000</v>
      </c>
      <c r="K104" s="6">
        <f t="shared" si="23"/>
        <v>-1</v>
      </c>
    </row>
    <row r="105" spans="1:11">
      <c r="C105" s="1" t="s">
        <v>217</v>
      </c>
      <c r="E105" s="40">
        <f>+'New Year-Full Year'!O179</f>
        <v>0</v>
      </c>
      <c r="F105" s="40">
        <f>+'New Year-Full Year'!P179</f>
        <v>10000</v>
      </c>
      <c r="G105" s="6">
        <f t="shared" si="22"/>
        <v>-1</v>
      </c>
      <c r="I105" s="40">
        <f>+'New Year-Full Year'!T179</f>
        <v>0</v>
      </c>
      <c r="J105" s="40">
        <f>+'New Year-Full Year'!U179</f>
        <v>10000</v>
      </c>
      <c r="K105" s="6">
        <f t="shared" si="23"/>
        <v>-1</v>
      </c>
    </row>
    <row r="106" spans="1:11" hidden="1">
      <c r="A106" s="47">
        <v>158</v>
      </c>
      <c r="C106" s="1" t="str">
        <f>'New Year-Full Year'!C180</f>
        <v>Line of Credit Payment</v>
      </c>
      <c r="E106" s="40">
        <f>+'New Year-Full Year'!O180</f>
        <v>0</v>
      </c>
      <c r="F106" s="40">
        <f>+'New Year-Full Year'!P180</f>
        <v>0</v>
      </c>
      <c r="G106" s="6" t="str">
        <f t="shared" si="22"/>
        <v>NA</v>
      </c>
      <c r="I106" s="40">
        <f>+'New Year-Full Year'!T180</f>
        <v>0</v>
      </c>
      <c r="J106" s="40">
        <f>+'New Year-Full Year'!U180</f>
        <v>0</v>
      </c>
      <c r="K106" s="6" t="str">
        <f t="shared" si="23"/>
        <v>NA</v>
      </c>
    </row>
    <row r="107" spans="1:11" s="4" customFormat="1">
      <c r="A107" s="47">
        <v>159</v>
      </c>
      <c r="B107" s="31" t="s">
        <v>85</v>
      </c>
      <c r="C107" s="31"/>
      <c r="D107" s="31"/>
      <c r="E107" s="31">
        <f>SUM(E101:E106)</f>
        <v>12521</v>
      </c>
      <c r="F107" s="31">
        <f>SUM(F101:F106)</f>
        <v>39378</v>
      </c>
      <c r="G107" s="32">
        <f t="shared" si="22"/>
        <v>-0.68203057544821977</v>
      </c>
      <c r="I107" s="31">
        <f>SUM(I101:I106)</f>
        <v>50734.85</v>
      </c>
      <c r="J107" s="31">
        <f>SUM(J101:J106)</f>
        <v>39378</v>
      </c>
      <c r="K107" s="32">
        <f t="shared" si="23"/>
        <v>0.28840596272030061</v>
      </c>
    </row>
    <row r="108" spans="1:11" ht="7.5" customHeight="1">
      <c r="A108" s="47">
        <v>160</v>
      </c>
      <c r="G108" s="42"/>
    </row>
    <row r="109" spans="1:11">
      <c r="A109" s="47">
        <v>161</v>
      </c>
      <c r="B109" s="33" t="s">
        <v>86</v>
      </c>
      <c r="C109" s="34"/>
      <c r="D109" s="34"/>
      <c r="E109" s="33">
        <f>+E70+E97+E107+E25+E76</f>
        <v>513300.32049999997</v>
      </c>
      <c r="F109" s="33">
        <f>+F70+F97+F107+F25+F76</f>
        <v>521499.84341041668</v>
      </c>
      <c r="G109" s="35">
        <f t="shared" ref="G109:G110" si="26">IF(F109=0,"NA",(+E109-F109)/F109)</f>
        <v>-1.5722963322088175E-2</v>
      </c>
      <c r="I109" s="33">
        <f>+I70+I97+I107+I25+I76</f>
        <v>517220.70999999996</v>
      </c>
      <c r="J109" s="33">
        <f>+J70+J97+J107+J25+J76</f>
        <v>521500.52</v>
      </c>
      <c r="K109" s="35">
        <f>IF(J109=0,"NA",(+I109-J109)/J109)</f>
        <v>-8.206722401734241E-3</v>
      </c>
    </row>
    <row r="110" spans="1:11">
      <c r="A110" s="47">
        <v>162</v>
      </c>
      <c r="B110" s="33" t="s">
        <v>87</v>
      </c>
      <c r="C110" s="34"/>
      <c r="D110" s="34"/>
      <c r="E110" s="33">
        <f>ROUND(+E22-E109,0)</f>
        <v>0</v>
      </c>
      <c r="F110" s="33">
        <f>ROUND(+F22-F109,0)</f>
        <v>0</v>
      </c>
      <c r="G110" s="35" t="str">
        <f t="shared" si="26"/>
        <v>NA</v>
      </c>
      <c r="I110" s="33">
        <f>ROUND(+I22-I109,0)</f>
        <v>-1</v>
      </c>
      <c r="J110" s="33">
        <f>ROUND(+J22-J109,0)</f>
        <v>-1</v>
      </c>
      <c r="K110" s="35">
        <f>IF(J110=0,"NA",(+I110-J110)/J110)</f>
        <v>0</v>
      </c>
    </row>
    <row r="111" spans="1:11" ht="7.25" customHeight="1" thickBot="1">
      <c r="G111" s="42"/>
    </row>
    <row r="112" spans="1:11">
      <c r="B112" s="115" t="s">
        <v>194</v>
      </c>
      <c r="C112" s="116"/>
      <c r="D112" s="116"/>
      <c r="E112" s="132">
        <f>+E22-E20</f>
        <v>513300</v>
      </c>
      <c r="F112" s="132">
        <f>+F22-F20</f>
        <v>521500</v>
      </c>
      <c r="G112" s="120">
        <f t="shared" ref="G112:G114" si="27">IF(F112=0,"NA",(+E112-F112)/F112)</f>
        <v>-1.5723873441994246E-2</v>
      </c>
      <c r="H112" s="117"/>
      <c r="I112" s="132">
        <f t="shared" ref="I112:J112" si="28">+I22-I20</f>
        <v>517219.7</v>
      </c>
      <c r="J112" s="132">
        <f t="shared" si="28"/>
        <v>521500</v>
      </c>
      <c r="K112" s="121">
        <f t="shared" ref="K112:K114" si="29">IF(J112=0,"NA",(+I112-J112)/J112)</f>
        <v>-8.2076701821668045E-3</v>
      </c>
    </row>
    <row r="113" spans="1:11">
      <c r="B113" s="122" t="s">
        <v>176</v>
      </c>
      <c r="C113" s="110"/>
      <c r="D113" s="110"/>
      <c r="E113" s="133">
        <f>+E109-E107</f>
        <v>500779.32049999997</v>
      </c>
      <c r="F113" s="133">
        <f>+F109-F107</f>
        <v>482121.84341041668</v>
      </c>
      <c r="G113" s="114">
        <f t="shared" si="27"/>
        <v>3.8698676163694809E-2</v>
      </c>
      <c r="H113" s="111"/>
      <c r="I113" s="133">
        <f>+I109-I107</f>
        <v>466485.86</v>
      </c>
      <c r="J113" s="133">
        <f>+J109-J107</f>
        <v>482122.52</v>
      </c>
      <c r="K113" s="123">
        <f t="shared" si="29"/>
        <v>-3.243295915735285E-2</v>
      </c>
    </row>
    <row r="114" spans="1:11" ht="15" thickBot="1">
      <c r="B114" s="124" t="s">
        <v>195</v>
      </c>
      <c r="C114" s="125"/>
      <c r="D114" s="125"/>
      <c r="E114" s="134">
        <f>+E112-E113</f>
        <v>12520.679500000027</v>
      </c>
      <c r="F114" s="134">
        <f>+F112-F113</f>
        <v>39378.156589583319</v>
      </c>
      <c r="G114" s="130">
        <f t="shared" si="27"/>
        <v>-0.68203997890261536</v>
      </c>
      <c r="H114" s="127"/>
      <c r="I114" s="134">
        <f>+I112-I113</f>
        <v>50733.840000000026</v>
      </c>
      <c r="J114" s="134">
        <f>+J112-J113</f>
        <v>39377.479999999981</v>
      </c>
      <c r="K114" s="131">
        <f t="shared" si="29"/>
        <v>0.2883973276095893</v>
      </c>
    </row>
    <row r="115" spans="1:11" ht="5" customHeight="1">
      <c r="G115" s="42"/>
    </row>
    <row r="116" spans="1:11">
      <c r="A116" s="1"/>
      <c r="B116" s="1"/>
      <c r="C116" s="509" t="s">
        <v>223</v>
      </c>
      <c r="D116" s="509"/>
      <c r="E116" s="509"/>
      <c r="F116" s="509"/>
      <c r="G116" s="509"/>
      <c r="H116" s="509"/>
      <c r="I116" s="509"/>
      <c r="J116" s="509"/>
      <c r="K116" s="509"/>
    </row>
  </sheetData>
  <mergeCells count="6">
    <mergeCell ref="C116:K116"/>
    <mergeCell ref="B1:K1"/>
    <mergeCell ref="B2:K2"/>
    <mergeCell ref="I3:K3"/>
    <mergeCell ref="E3:G3"/>
    <mergeCell ref="C73:D73"/>
  </mergeCells>
  <pageMargins left="0" right="0" top="0" bottom="0.75" header="0.3" footer="0.05"/>
  <pageSetup scale="90" fitToHeight="0" orientation="portrait" r:id="rId1"/>
  <headerFooter>
    <oddFooter>&amp;C&amp;P of &amp;N&amp;R&amp;D</oddFooter>
  </headerFooter>
  <rowBreaks count="2" manualBreakCount="2">
    <brk id="52" max="16383" man="1"/>
    <brk id="88"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Z236"/>
  <sheetViews>
    <sheetView showGridLines="0" tabSelected="1" topLeftCell="B3" workbookViewId="0">
      <pane xSplit="13" ySplit="2" topLeftCell="O178" activePane="bottomRight" state="frozen"/>
      <selection activeCell="I112" sqref="I112"/>
      <selection pane="topRight" activeCell="I112" sqref="I112"/>
      <selection pane="bottomLeft" activeCell="I112" sqref="I112"/>
      <selection pane="bottomRight" activeCell="C3" sqref="C3:O188"/>
    </sheetView>
  </sheetViews>
  <sheetFormatPr defaultColWidth="9.08984375" defaultRowHeight="14.5" outlineLevelCol="1"/>
  <cols>
    <col min="1" max="1" width="4.453125" style="47" hidden="1" customWidth="1"/>
    <col min="2" max="2" width="4.36328125" style="4" customWidth="1"/>
    <col min="3" max="3" width="9.08984375" style="1"/>
    <col min="4" max="4" width="21.1796875" style="57" customWidth="1"/>
    <col min="5" max="5" width="11.54296875" style="89" hidden="1" customWidth="1" outlineLevel="1"/>
    <col min="6" max="6" width="11.36328125" style="42" hidden="1" customWidth="1" outlineLevel="1"/>
    <col min="7" max="7" width="8.6328125" style="42" hidden="1" customWidth="1" outlineLevel="1"/>
    <col min="8" max="8" width="10" style="42" hidden="1" customWidth="1" outlineLevel="1"/>
    <col min="9" max="9" width="10.6328125" style="42" hidden="1" customWidth="1" outlineLevel="1"/>
    <col min="10" max="10" width="8.08984375" style="42" hidden="1" customWidth="1" outlineLevel="1"/>
    <col min="11" max="11" width="10.36328125" style="42" hidden="1" customWidth="1" outlineLevel="1"/>
    <col min="12" max="12" width="7.08984375" style="42" hidden="1" customWidth="1" outlineLevel="1"/>
    <col min="13" max="13" width="8.36328125" style="42" hidden="1" customWidth="1" outlineLevel="1"/>
    <col min="14" max="14" width="9.6328125" style="1" hidden="1" customWidth="1" outlineLevel="1"/>
    <col min="15" max="15" width="11.08984375" style="1" customWidth="1" collapsed="1"/>
    <col min="16" max="16" width="11.08984375" style="1" customWidth="1"/>
    <col min="17" max="17" width="10.54296875" style="1" customWidth="1"/>
    <col min="18" max="18" width="9.36328125" style="1" customWidth="1"/>
    <col min="19" max="19" width="2.6328125" style="1" customWidth="1"/>
    <col min="20" max="20" width="10.90625" style="1" customWidth="1"/>
    <col min="21" max="21" width="10.453125" style="1" customWidth="1"/>
    <col min="22" max="22" width="9" style="7" customWidth="1"/>
    <col min="23" max="23" width="76.6328125" style="62" customWidth="1"/>
    <col min="24" max="24" width="58.6328125" style="38" hidden="1" customWidth="1"/>
    <col min="25" max="25" width="9.54296875" style="1" bestFit="1" customWidth="1"/>
    <col min="26" max="16384" width="9.08984375" style="1"/>
  </cols>
  <sheetData>
    <row r="1" spans="1:24" ht="41.25" customHeight="1">
      <c r="B1" s="510" t="s">
        <v>91</v>
      </c>
      <c r="C1" s="510"/>
      <c r="D1" s="510"/>
      <c r="E1" s="510"/>
      <c r="F1" s="510"/>
      <c r="G1" s="510"/>
      <c r="H1" s="510"/>
      <c r="I1" s="510"/>
      <c r="J1" s="510"/>
      <c r="K1" s="510"/>
      <c r="L1" s="510"/>
      <c r="M1" s="510"/>
      <c r="N1" s="510"/>
      <c r="O1" s="510"/>
      <c r="P1" s="510"/>
      <c r="Q1" s="510"/>
      <c r="R1" s="510"/>
      <c r="S1" s="510"/>
      <c r="T1" s="510"/>
      <c r="U1" s="510"/>
      <c r="V1" s="510"/>
      <c r="W1" s="510"/>
      <c r="X1" s="1"/>
    </row>
    <row r="2" spans="1:24" ht="23.25" customHeight="1">
      <c r="O2" s="515" t="s">
        <v>90</v>
      </c>
      <c r="P2" s="516"/>
      <c r="Q2" s="516"/>
      <c r="R2" s="517"/>
      <c r="T2" s="533" t="str">
        <f>Bud_Yr-1&amp;" Year to Date (YTD)"</f>
        <v>2018 Year to Date (YTD)</v>
      </c>
      <c r="U2" s="534"/>
      <c r="V2" s="535"/>
    </row>
    <row r="3" spans="1:24" ht="27.65" customHeight="1">
      <c r="O3" s="544" t="str">
        <f>Bud_Yr&amp;" Budget"</f>
        <v>2019 Budget</v>
      </c>
      <c r="P3" s="546" t="str">
        <f>Bud_Yr-1&amp;" Budget"</f>
        <v>2018 Budget</v>
      </c>
      <c r="Q3" s="536" t="str">
        <f>Bud_Yr&amp;" Budget vs             "&amp;Bud_Yr-1&amp;" Budget"</f>
        <v>2019 Budget vs             2018 Budget</v>
      </c>
      <c r="R3" s="537"/>
      <c r="S3" s="57"/>
      <c r="T3" s="538" t="s">
        <v>424</v>
      </c>
      <c r="U3" s="540" t="s">
        <v>425</v>
      </c>
      <c r="V3" s="542" t="s">
        <v>89</v>
      </c>
    </row>
    <row r="4" spans="1:24" s="4" customFormat="1">
      <c r="A4" s="48"/>
      <c r="D4" s="17"/>
      <c r="E4" s="90"/>
      <c r="F4" s="91"/>
      <c r="G4" s="91"/>
      <c r="H4" s="91"/>
      <c r="I4" s="91"/>
      <c r="J4" s="91"/>
      <c r="K4" s="91"/>
      <c r="L4" s="91"/>
      <c r="M4" s="91"/>
      <c r="O4" s="545"/>
      <c r="P4" s="547"/>
      <c r="Q4" s="56" t="s">
        <v>119</v>
      </c>
      <c r="R4" s="58" t="s">
        <v>120</v>
      </c>
      <c r="T4" s="539"/>
      <c r="U4" s="541"/>
      <c r="V4" s="543"/>
      <c r="W4" s="63" t="str">
        <f>Bud_Yr&amp;" Budget Notes"</f>
        <v>2019 Budget Notes</v>
      </c>
      <c r="X4" s="8" t="s">
        <v>121</v>
      </c>
    </row>
    <row r="5" spans="1:24" s="4" customFormat="1" ht="18.5">
      <c r="A5" s="48"/>
      <c r="B5" s="9" t="s">
        <v>0</v>
      </c>
      <c r="D5" s="17"/>
      <c r="E5" s="90"/>
      <c r="F5" s="91"/>
      <c r="G5" s="91"/>
      <c r="H5" s="91"/>
      <c r="I5" s="91"/>
      <c r="J5" s="91"/>
      <c r="K5" s="91"/>
      <c r="L5" s="91"/>
      <c r="M5" s="91"/>
      <c r="O5" s="10"/>
      <c r="P5" s="11"/>
      <c r="Q5" s="43"/>
      <c r="R5" s="11"/>
      <c r="T5" s="11"/>
      <c r="U5" s="11"/>
      <c r="V5" s="11"/>
      <c r="W5" s="80"/>
      <c r="X5" s="64"/>
    </row>
    <row r="6" spans="1:24">
      <c r="A6" s="47">
        <v>1</v>
      </c>
      <c r="B6" s="4" t="s">
        <v>1</v>
      </c>
      <c r="W6" s="81"/>
      <c r="X6" s="79"/>
    </row>
    <row r="7" spans="1:24">
      <c r="A7" s="47">
        <v>2</v>
      </c>
      <c r="C7" s="280" t="s">
        <v>1</v>
      </c>
      <c r="D7" s="292"/>
      <c r="E7" s="293"/>
      <c r="F7" s="294"/>
      <c r="G7" s="294"/>
      <c r="H7" s="294"/>
      <c r="I7" s="294"/>
      <c r="J7" s="294"/>
      <c r="K7" s="294"/>
      <c r="L7" s="294"/>
      <c r="M7" s="294"/>
      <c r="N7" s="280"/>
      <c r="O7" s="305">
        <f>+P7*0.98</f>
        <v>490000</v>
      </c>
      <c r="P7" s="277">
        <v>500000</v>
      </c>
      <c r="Q7" s="278">
        <f>+O7-P7</f>
        <v>-10000</v>
      </c>
      <c r="R7" s="279">
        <f>IF(P7=0,"NA",(+O7-P7)/P7)</f>
        <v>-0.02</v>
      </c>
      <c r="S7" s="280"/>
      <c r="T7" s="277">
        <v>490294.58</v>
      </c>
      <c r="U7" s="277">
        <v>500000</v>
      </c>
      <c r="V7" s="279">
        <f t="shared" ref="V7:V13" si="0">IF(U7=0,"NA",(+T7-U7)/U7)</f>
        <v>-1.9410839999999967E-2</v>
      </c>
      <c r="W7" s="281" t="s">
        <v>191</v>
      </c>
      <c r="X7" s="65" t="s">
        <v>131</v>
      </c>
    </row>
    <row r="8" spans="1:24">
      <c r="C8" s="285" t="s">
        <v>426</v>
      </c>
      <c r="D8" s="295"/>
      <c r="E8" s="296"/>
      <c r="F8" s="297"/>
      <c r="G8" s="297"/>
      <c r="H8" s="297"/>
      <c r="I8" s="297"/>
      <c r="J8" s="297"/>
      <c r="K8" s="297"/>
      <c r="L8" s="297"/>
      <c r="M8" s="297"/>
      <c r="N8" s="285"/>
      <c r="O8" s="282">
        <v>0</v>
      </c>
      <c r="P8" s="282">
        <v>0</v>
      </c>
      <c r="Q8" s="283">
        <f t="shared" ref="Q8" si="1">+O8-P8</f>
        <v>0</v>
      </c>
      <c r="R8" s="284" t="str">
        <f t="shared" ref="R8" si="2">IF(P8=0,"NA",(+O8-P8)/P8)</f>
        <v>NA</v>
      </c>
      <c r="S8" s="285"/>
      <c r="T8" s="282">
        <v>82</v>
      </c>
      <c r="U8" s="282">
        <v>0</v>
      </c>
      <c r="V8" s="284" t="str">
        <f t="shared" ref="V8" si="3">IF(U8=0,"NA",(+T8-U8)/U8)</f>
        <v>NA</v>
      </c>
      <c r="W8" s="281"/>
      <c r="X8" s="65"/>
    </row>
    <row r="9" spans="1:24">
      <c r="A9" s="47">
        <v>4</v>
      </c>
      <c r="C9" s="285" t="s">
        <v>2</v>
      </c>
      <c r="D9" s="295"/>
      <c r="E9" s="296"/>
      <c r="F9" s="297"/>
      <c r="G9" s="297"/>
      <c r="H9" s="297"/>
      <c r="I9" s="297"/>
      <c r="J9" s="297"/>
      <c r="K9" s="297"/>
      <c r="L9" s="297"/>
      <c r="M9" s="297"/>
      <c r="N9" s="285"/>
      <c r="O9" s="282">
        <v>3500</v>
      </c>
      <c r="P9" s="282">
        <v>4000</v>
      </c>
      <c r="Q9" s="283">
        <f t="shared" ref="Q9:Q12" si="4">+O9-P9</f>
        <v>-500</v>
      </c>
      <c r="R9" s="284">
        <f t="shared" ref="R9:R13" si="5">IF(P9=0,"NA",(+O9-P9)/P9)</f>
        <v>-0.125</v>
      </c>
      <c r="S9" s="285"/>
      <c r="T9" s="282">
        <v>3525</v>
      </c>
      <c r="U9" s="282">
        <v>4000</v>
      </c>
      <c r="V9" s="284">
        <f t="shared" si="0"/>
        <v>-0.11874999999999999</v>
      </c>
      <c r="W9" s="286"/>
      <c r="X9" s="65"/>
    </row>
    <row r="10" spans="1:24">
      <c r="A10" s="47">
        <v>5</v>
      </c>
      <c r="C10" s="285" t="s">
        <v>3</v>
      </c>
      <c r="D10" s="295"/>
      <c r="E10" s="296"/>
      <c r="F10" s="297"/>
      <c r="G10" s="297"/>
      <c r="H10" s="297"/>
      <c r="I10" s="297"/>
      <c r="J10" s="297"/>
      <c r="K10" s="297"/>
      <c r="L10" s="297"/>
      <c r="M10" s="297"/>
      <c r="N10" s="285"/>
      <c r="O10" s="282">
        <v>1000</v>
      </c>
      <c r="P10" s="282">
        <v>1000</v>
      </c>
      <c r="Q10" s="283">
        <f t="shared" si="4"/>
        <v>0</v>
      </c>
      <c r="R10" s="284">
        <f t="shared" si="5"/>
        <v>0</v>
      </c>
      <c r="S10" s="285"/>
      <c r="T10" s="282">
        <v>714</v>
      </c>
      <c r="U10" s="282">
        <v>1000</v>
      </c>
      <c r="V10" s="284">
        <f t="shared" si="0"/>
        <v>-0.28599999999999998</v>
      </c>
      <c r="W10" s="286"/>
      <c r="X10" s="65"/>
    </row>
    <row r="11" spans="1:24">
      <c r="A11" s="47">
        <v>6</v>
      </c>
      <c r="C11" s="285" t="s">
        <v>4</v>
      </c>
      <c r="D11" s="295"/>
      <c r="E11" s="296"/>
      <c r="F11" s="297"/>
      <c r="G11" s="297"/>
      <c r="H11" s="297"/>
      <c r="I11" s="297"/>
      <c r="J11" s="297"/>
      <c r="K11" s="297"/>
      <c r="L11" s="297"/>
      <c r="M11" s="297"/>
      <c r="N11" s="285"/>
      <c r="O11" s="282">
        <v>5000</v>
      </c>
      <c r="P11" s="282">
        <v>5000</v>
      </c>
      <c r="Q11" s="283">
        <f t="shared" si="4"/>
        <v>0</v>
      </c>
      <c r="R11" s="284">
        <f t="shared" si="5"/>
        <v>0</v>
      </c>
      <c r="S11" s="285"/>
      <c r="T11" s="282">
        <v>4347</v>
      </c>
      <c r="U11" s="282">
        <v>5000</v>
      </c>
      <c r="V11" s="284">
        <f t="shared" si="0"/>
        <v>-0.13059999999999999</v>
      </c>
      <c r="W11" s="286"/>
      <c r="X11" s="65"/>
    </row>
    <row r="12" spans="1:24">
      <c r="A12" s="47">
        <v>7</v>
      </c>
      <c r="C12" s="290" t="s">
        <v>5</v>
      </c>
      <c r="D12" s="298"/>
      <c r="E12" s="299"/>
      <c r="F12" s="300"/>
      <c r="G12" s="300"/>
      <c r="H12" s="300"/>
      <c r="I12" s="300"/>
      <c r="J12" s="300"/>
      <c r="K12" s="300"/>
      <c r="L12" s="300"/>
      <c r="M12" s="300"/>
      <c r="N12" s="290"/>
      <c r="O12" s="287">
        <v>2800</v>
      </c>
      <c r="P12" s="287">
        <v>3000</v>
      </c>
      <c r="Q12" s="288">
        <f t="shared" si="4"/>
        <v>-200</v>
      </c>
      <c r="R12" s="289">
        <f t="shared" si="5"/>
        <v>-6.6666666666666666E-2</v>
      </c>
      <c r="S12" s="290"/>
      <c r="T12" s="287">
        <v>2864</v>
      </c>
      <c r="U12" s="287">
        <v>3000</v>
      </c>
      <c r="V12" s="289">
        <f t="shared" si="0"/>
        <v>-4.5333333333333337E-2</v>
      </c>
      <c r="W12" s="291"/>
      <c r="X12" s="65"/>
    </row>
    <row r="13" spans="1:24">
      <c r="A13" s="47">
        <v>8</v>
      </c>
      <c r="B13" s="12" t="s">
        <v>6</v>
      </c>
      <c r="C13" s="12"/>
      <c r="D13" s="12"/>
      <c r="E13" s="92"/>
      <c r="F13" s="92"/>
      <c r="G13" s="92"/>
      <c r="H13" s="92"/>
      <c r="I13" s="92"/>
      <c r="J13" s="92"/>
      <c r="K13" s="92"/>
      <c r="L13" s="92"/>
      <c r="M13" s="92"/>
      <c r="N13" s="12"/>
      <c r="O13" s="12">
        <f>SUM(O7:O12)</f>
        <v>502300</v>
      </c>
      <c r="P13" s="12">
        <f>SUM(P7:P12)</f>
        <v>513000</v>
      </c>
      <c r="Q13" s="12">
        <f>SUM(Q7:Q12)</f>
        <v>-10700</v>
      </c>
      <c r="R13" s="13">
        <f t="shared" si="5"/>
        <v>-2.0857699805068228E-2</v>
      </c>
      <c r="T13" s="12">
        <f>SUM(T7:T12)</f>
        <v>501826.58</v>
      </c>
      <c r="U13" s="12">
        <f>SUM(U7:U12)</f>
        <v>513000</v>
      </c>
      <c r="V13" s="13">
        <f t="shared" si="0"/>
        <v>-2.1780545808966829E-2</v>
      </c>
      <c r="W13" s="82"/>
      <c r="X13" s="66"/>
    </row>
    <row r="14" spans="1:24" ht="5.25" customHeight="1">
      <c r="A14" s="47">
        <v>9</v>
      </c>
      <c r="R14" s="7"/>
      <c r="W14" s="82"/>
      <c r="X14" s="66"/>
    </row>
    <row r="15" spans="1:24">
      <c r="A15" s="47">
        <v>10</v>
      </c>
      <c r="B15" s="4" t="s">
        <v>7</v>
      </c>
      <c r="R15" s="7"/>
      <c r="W15" s="82"/>
      <c r="X15" s="66"/>
    </row>
    <row r="16" spans="1:24">
      <c r="A16" s="47">
        <v>11</v>
      </c>
      <c r="C16" s="280" t="s">
        <v>8</v>
      </c>
      <c r="D16" s="292"/>
      <c r="E16" s="293"/>
      <c r="F16" s="294"/>
      <c r="G16" s="294"/>
      <c r="H16" s="294"/>
      <c r="I16" s="294"/>
      <c r="J16" s="294"/>
      <c r="K16" s="294"/>
      <c r="L16" s="294"/>
      <c r="M16" s="294"/>
      <c r="N16" s="280"/>
      <c r="O16" s="277">
        <v>11000</v>
      </c>
      <c r="P16" s="277">
        <v>8500</v>
      </c>
      <c r="Q16" s="278">
        <f t="shared" ref="Q16:Q20" si="6">+O16-P16</f>
        <v>2500</v>
      </c>
      <c r="R16" s="279">
        <f t="shared" ref="R16:R22" si="7">IF(P16=0,"NA",(+O16-P16)/P16)</f>
        <v>0.29411764705882354</v>
      </c>
      <c r="S16" s="280"/>
      <c r="T16" s="277">
        <v>10324.290000000001</v>
      </c>
      <c r="U16" s="277">
        <v>8500</v>
      </c>
      <c r="V16" s="279">
        <f t="shared" ref="V16:V22" si="8">IF(U16=0,"NA",(+T16-U16)/U16)</f>
        <v>0.21462235294117657</v>
      </c>
      <c r="W16" s="281"/>
      <c r="X16" s="65"/>
    </row>
    <row r="17" spans="1:24">
      <c r="A17" s="47">
        <v>12</v>
      </c>
      <c r="C17" s="285" t="s">
        <v>7</v>
      </c>
      <c r="D17" s="295"/>
      <c r="E17" s="296"/>
      <c r="F17" s="297"/>
      <c r="G17" s="297"/>
      <c r="H17" s="297"/>
      <c r="I17" s="297"/>
      <c r="J17" s="297"/>
      <c r="K17" s="297"/>
      <c r="L17" s="297"/>
      <c r="M17" s="297"/>
      <c r="N17" s="285"/>
      <c r="O17" s="282">
        <f t="shared" ref="O17:O20" si="9">+P17</f>
        <v>0</v>
      </c>
      <c r="P17" s="282">
        <v>0</v>
      </c>
      <c r="Q17" s="283">
        <f t="shared" si="6"/>
        <v>0</v>
      </c>
      <c r="R17" s="284" t="str">
        <f t="shared" si="7"/>
        <v>NA</v>
      </c>
      <c r="S17" s="285"/>
      <c r="T17" s="282">
        <v>5066</v>
      </c>
      <c r="U17" s="282">
        <v>0</v>
      </c>
      <c r="V17" s="284" t="str">
        <f t="shared" si="8"/>
        <v>NA</v>
      </c>
      <c r="W17" s="301"/>
      <c r="X17" s="66"/>
    </row>
    <row r="18" spans="1:24">
      <c r="A18" s="47">
        <v>13</v>
      </c>
      <c r="C18" s="285" t="s">
        <v>9</v>
      </c>
      <c r="D18" s="295"/>
      <c r="E18" s="296"/>
      <c r="F18" s="297"/>
      <c r="G18" s="297"/>
      <c r="H18" s="297"/>
      <c r="I18" s="297"/>
      <c r="J18" s="297"/>
      <c r="K18" s="297"/>
      <c r="L18" s="297"/>
      <c r="M18" s="297"/>
      <c r="N18" s="285"/>
      <c r="O18" s="282">
        <f t="shared" si="9"/>
        <v>0</v>
      </c>
      <c r="P18" s="282">
        <v>0</v>
      </c>
      <c r="Q18" s="283">
        <f t="shared" si="6"/>
        <v>0</v>
      </c>
      <c r="R18" s="284" t="str">
        <f t="shared" si="7"/>
        <v>NA</v>
      </c>
      <c r="S18" s="285"/>
      <c r="T18" s="282">
        <v>0</v>
      </c>
      <c r="U18" s="282">
        <v>0</v>
      </c>
      <c r="V18" s="284" t="str">
        <f t="shared" si="8"/>
        <v>NA</v>
      </c>
      <c r="W18" s="301"/>
      <c r="X18" s="66"/>
    </row>
    <row r="19" spans="1:24">
      <c r="A19" s="47">
        <v>14</v>
      </c>
      <c r="C19" s="285" t="s">
        <v>11</v>
      </c>
      <c r="D19" s="295"/>
      <c r="E19" s="296"/>
      <c r="F19" s="297"/>
      <c r="G19" s="297"/>
      <c r="H19" s="297"/>
      <c r="I19" s="297"/>
      <c r="J19" s="297"/>
      <c r="K19" s="297"/>
      <c r="L19" s="297"/>
      <c r="M19" s="297"/>
      <c r="N19" s="285"/>
      <c r="O19" s="282">
        <f t="shared" si="9"/>
        <v>0</v>
      </c>
      <c r="P19" s="282">
        <v>0</v>
      </c>
      <c r="Q19" s="283">
        <f t="shared" si="6"/>
        <v>0</v>
      </c>
      <c r="R19" s="284" t="str">
        <f t="shared" si="7"/>
        <v>NA</v>
      </c>
      <c r="S19" s="285"/>
      <c r="T19" s="282">
        <v>2.83</v>
      </c>
      <c r="U19" s="282">
        <v>0</v>
      </c>
      <c r="V19" s="284" t="str">
        <f t="shared" si="8"/>
        <v>NA</v>
      </c>
      <c r="W19" s="301"/>
      <c r="X19" s="66"/>
    </row>
    <row r="20" spans="1:24">
      <c r="A20" s="47">
        <v>15</v>
      </c>
      <c r="C20" s="290" t="s">
        <v>99</v>
      </c>
      <c r="D20" s="298"/>
      <c r="E20" s="299"/>
      <c r="F20" s="300"/>
      <c r="G20" s="300"/>
      <c r="H20" s="300"/>
      <c r="I20" s="300"/>
      <c r="J20" s="300"/>
      <c r="K20" s="300"/>
      <c r="L20" s="300"/>
      <c r="M20" s="300"/>
      <c r="N20" s="290"/>
      <c r="O20" s="287">
        <f t="shared" si="9"/>
        <v>0</v>
      </c>
      <c r="P20" s="287">
        <v>0</v>
      </c>
      <c r="Q20" s="288">
        <f t="shared" si="6"/>
        <v>0</v>
      </c>
      <c r="R20" s="289" t="str">
        <f t="shared" si="7"/>
        <v>NA</v>
      </c>
      <c r="S20" s="290"/>
      <c r="T20" s="287">
        <v>0</v>
      </c>
      <c r="U20" s="287">
        <v>0</v>
      </c>
      <c r="V20" s="289" t="str">
        <f t="shared" si="8"/>
        <v>NA</v>
      </c>
      <c r="W20" s="302"/>
      <c r="X20" s="66"/>
    </row>
    <row r="21" spans="1:24">
      <c r="A21" s="47">
        <v>16</v>
      </c>
      <c r="B21" s="12" t="s">
        <v>10</v>
      </c>
      <c r="C21" s="12"/>
      <c r="D21" s="12"/>
      <c r="E21" s="92"/>
      <c r="F21" s="92"/>
      <c r="G21" s="92"/>
      <c r="H21" s="92"/>
      <c r="I21" s="92"/>
      <c r="J21" s="92"/>
      <c r="K21" s="92"/>
      <c r="L21" s="92"/>
      <c r="M21" s="92"/>
      <c r="N21" s="12"/>
      <c r="O21" s="12">
        <f>SUM(O16:O20)</f>
        <v>11000</v>
      </c>
      <c r="P21" s="12">
        <f>SUM(P16:P20)</f>
        <v>8500</v>
      </c>
      <c r="Q21" s="12">
        <f>SUM(Q16:Q20)</f>
        <v>2500</v>
      </c>
      <c r="R21" s="13">
        <f t="shared" si="7"/>
        <v>0.29411764705882354</v>
      </c>
      <c r="T21" s="12">
        <f t="shared" ref="T21:U21" si="10">SUM(T16:T20)</f>
        <v>15393.12</v>
      </c>
      <c r="U21" s="12">
        <f t="shared" si="10"/>
        <v>8500</v>
      </c>
      <c r="V21" s="13">
        <f t="shared" si="8"/>
        <v>0.81095529411764711</v>
      </c>
      <c r="W21" s="82"/>
      <c r="X21" s="66"/>
    </row>
    <row r="22" spans="1:24">
      <c r="A22" s="47">
        <v>17</v>
      </c>
      <c r="B22" s="12" t="s">
        <v>12</v>
      </c>
      <c r="C22" s="12"/>
      <c r="D22" s="12"/>
      <c r="E22" s="92"/>
      <c r="F22" s="92"/>
      <c r="G22" s="92"/>
      <c r="H22" s="92"/>
      <c r="I22" s="92"/>
      <c r="J22" s="92"/>
      <c r="K22" s="92"/>
      <c r="L22" s="92"/>
      <c r="M22" s="92"/>
      <c r="N22" s="12"/>
      <c r="O22" s="12">
        <f>+O13+O21</f>
        <v>513300</v>
      </c>
      <c r="P22" s="12">
        <f>+P13+P21</f>
        <v>521500</v>
      </c>
      <c r="Q22" s="12">
        <f>+Q13+Q21</f>
        <v>-8200</v>
      </c>
      <c r="R22" s="13">
        <f t="shared" si="7"/>
        <v>-1.5723873441994246E-2</v>
      </c>
      <c r="T22" s="12">
        <f t="shared" ref="T22:U22" si="11">+T13+T21</f>
        <v>517219.7</v>
      </c>
      <c r="U22" s="12">
        <f t="shared" si="11"/>
        <v>521500</v>
      </c>
      <c r="V22" s="13">
        <f t="shared" si="8"/>
        <v>-8.2076701821668045E-3</v>
      </c>
      <c r="W22" s="82"/>
      <c r="X22" s="66"/>
    </row>
    <row r="23" spans="1:24" ht="6" customHeight="1">
      <c r="A23" s="47">
        <v>18</v>
      </c>
      <c r="R23" s="7"/>
      <c r="W23" s="82"/>
      <c r="X23" s="66"/>
    </row>
    <row r="24" spans="1:24" ht="18.5">
      <c r="A24" s="47">
        <v>19</v>
      </c>
      <c r="B24" s="9" t="s">
        <v>13</v>
      </c>
      <c r="R24" s="7"/>
      <c r="W24" s="82"/>
      <c r="X24" s="66"/>
    </row>
    <row r="25" spans="1:24" ht="18.5">
      <c r="A25" s="47">
        <v>20</v>
      </c>
      <c r="B25" s="9" t="s">
        <v>96</v>
      </c>
      <c r="R25" s="7"/>
      <c r="W25" s="82"/>
      <c r="X25" s="66"/>
    </row>
    <row r="26" spans="1:24" hidden="1">
      <c r="A26" s="47">
        <v>21</v>
      </c>
      <c r="C26" s="1" t="s">
        <v>14</v>
      </c>
      <c r="O26" s="1">
        <f>+O22</f>
        <v>513300</v>
      </c>
      <c r="P26" s="1">
        <f>+P22</f>
        <v>521500</v>
      </c>
      <c r="Q26" s="40">
        <f t="shared" ref="Q26:Q29" si="12">+O26-P26</f>
        <v>-8200</v>
      </c>
      <c r="R26" s="7"/>
      <c r="W26" s="82"/>
      <c r="X26" s="66"/>
    </row>
    <row r="27" spans="1:24" hidden="1">
      <c r="A27" s="47">
        <v>23</v>
      </c>
      <c r="C27" s="1" t="s">
        <v>15</v>
      </c>
      <c r="O27" s="40">
        <f>-O180</f>
        <v>0</v>
      </c>
      <c r="P27" s="40">
        <f>-P180</f>
        <v>0</v>
      </c>
      <c r="Q27" s="40">
        <f t="shared" si="12"/>
        <v>0</v>
      </c>
      <c r="R27" s="7"/>
      <c r="T27" s="40"/>
      <c r="U27" s="40"/>
      <c r="W27" s="82"/>
      <c r="X27" s="66"/>
    </row>
    <row r="28" spans="1:24" hidden="1">
      <c r="A28" s="47">
        <v>24</v>
      </c>
      <c r="C28" s="1" t="s">
        <v>16</v>
      </c>
      <c r="O28" s="40">
        <f>-O169</f>
        <v>0</v>
      </c>
      <c r="P28" s="40">
        <f>-P169</f>
        <v>0</v>
      </c>
      <c r="Q28" s="40">
        <f t="shared" si="12"/>
        <v>0</v>
      </c>
      <c r="R28" s="7"/>
      <c r="T28" s="40"/>
      <c r="U28" s="40"/>
      <c r="W28" s="82"/>
      <c r="X28" s="66"/>
    </row>
    <row r="29" spans="1:24" hidden="1">
      <c r="A29" s="47">
        <v>25</v>
      </c>
      <c r="C29" s="1" t="s">
        <v>117</v>
      </c>
      <c r="O29" s="1">
        <f>SUM(O26:O28)</f>
        <v>513300</v>
      </c>
      <c r="P29" s="1">
        <f>SUM(P26:P28)</f>
        <v>521500</v>
      </c>
      <c r="Q29" s="40">
        <f t="shared" si="12"/>
        <v>-8200</v>
      </c>
      <c r="R29" s="7"/>
      <c r="W29" s="82"/>
      <c r="X29" s="66"/>
    </row>
    <row r="30" spans="1:24" s="4" customFormat="1">
      <c r="A30" s="47">
        <v>26</v>
      </c>
      <c r="B30" s="14"/>
      <c r="C30" s="15" t="s">
        <v>97</v>
      </c>
      <c r="D30" s="15"/>
      <c r="E30" s="93"/>
      <c r="F30" s="94"/>
      <c r="G30" s="94"/>
      <c r="H30" s="94"/>
      <c r="I30" s="94"/>
      <c r="J30" s="94"/>
      <c r="K30" s="94"/>
      <c r="L30" s="94"/>
      <c r="M30" s="94"/>
      <c r="N30" s="14"/>
      <c r="O30" s="14">
        <f>ROUND(+O29*0.1,0)</f>
        <v>51330</v>
      </c>
      <c r="P30" s="14">
        <f>ROUND(+P29*0.1,0)</f>
        <v>52150</v>
      </c>
      <c r="Q30" s="14">
        <f>ROUND(+Q29*0.1,0)</f>
        <v>-820</v>
      </c>
      <c r="R30" s="16">
        <f>IF(P30=0,"NA",(+O30-P30)/P30)</f>
        <v>-1.5723873441994246E-2</v>
      </c>
      <c r="S30" s="1"/>
      <c r="T30" s="53">
        <v>52600</v>
      </c>
      <c r="U30" s="53">
        <v>52150</v>
      </c>
      <c r="V30" s="16">
        <f>IF(U30=0,"NA",(+T30-U30)/U30)</f>
        <v>8.6289549376797701E-3</v>
      </c>
      <c r="W30" s="83"/>
      <c r="X30" s="67"/>
    </row>
    <row r="31" spans="1:24" s="4" customFormat="1" ht="6.75" customHeight="1">
      <c r="A31" s="47">
        <v>27</v>
      </c>
      <c r="B31" s="17"/>
      <c r="C31" s="18"/>
      <c r="D31" s="17"/>
      <c r="E31" s="90"/>
      <c r="F31" s="90"/>
      <c r="G31" s="90"/>
      <c r="H31" s="90"/>
      <c r="I31" s="90"/>
      <c r="J31" s="90"/>
      <c r="K31" s="90"/>
      <c r="L31" s="90"/>
      <c r="M31" s="90"/>
      <c r="N31" s="17"/>
      <c r="O31" s="17"/>
      <c r="P31" s="19"/>
      <c r="Q31" s="17"/>
      <c r="R31" s="20"/>
      <c r="S31" s="1"/>
      <c r="T31" s="17"/>
      <c r="U31" s="17"/>
      <c r="V31" s="20"/>
      <c r="W31" s="84"/>
      <c r="X31" s="68"/>
    </row>
    <row r="32" spans="1:24" s="4" customFormat="1" ht="18.5">
      <c r="A32" s="47">
        <v>28</v>
      </c>
      <c r="B32" s="21" t="s">
        <v>66</v>
      </c>
      <c r="C32" s="18"/>
      <c r="D32" s="17"/>
      <c r="E32" s="90"/>
      <c r="F32" s="90"/>
      <c r="G32" s="90"/>
      <c r="H32" s="90"/>
      <c r="I32" s="90"/>
      <c r="J32" s="90"/>
      <c r="K32" s="90"/>
      <c r="L32" s="90"/>
      <c r="M32" s="90"/>
      <c r="N32" s="17"/>
      <c r="O32" s="17"/>
      <c r="P32" s="19"/>
      <c r="Q32" s="17"/>
      <c r="R32" s="20"/>
      <c r="S32" s="1"/>
      <c r="T32" s="17"/>
      <c r="U32" s="17"/>
      <c r="V32" s="20"/>
      <c r="W32" s="84"/>
      <c r="X32" s="68"/>
    </row>
    <row r="33" spans="1:24">
      <c r="A33" s="47">
        <v>29</v>
      </c>
      <c r="B33" s="4" t="s">
        <v>17</v>
      </c>
      <c r="R33" s="7"/>
      <c r="W33" s="82"/>
      <c r="X33" s="66"/>
    </row>
    <row r="34" spans="1:24" ht="29">
      <c r="A34" s="47">
        <v>30</v>
      </c>
      <c r="C34" s="280" t="s">
        <v>88</v>
      </c>
      <c r="D34" s="292"/>
      <c r="E34" s="293"/>
      <c r="F34" s="294"/>
      <c r="G34" s="294"/>
      <c r="H34" s="294"/>
      <c r="I34" s="294"/>
      <c r="J34" s="294"/>
      <c r="K34" s="294"/>
      <c r="L34" s="294"/>
      <c r="M34" s="294"/>
      <c r="N34" s="280"/>
      <c r="O34" s="277">
        <v>2000</v>
      </c>
      <c r="P34" s="277">
        <v>2000</v>
      </c>
      <c r="Q34" s="278">
        <f t="shared" ref="Q34:Q40" si="13">+O34-P34</f>
        <v>0</v>
      </c>
      <c r="R34" s="279">
        <f t="shared" ref="R34:R41" si="14">IF(P34=0,"NA",(+O34-P34)/P34)</f>
        <v>0</v>
      </c>
      <c r="S34" s="280"/>
      <c r="T34" s="277">
        <v>990.46</v>
      </c>
      <c r="U34" s="277">
        <v>2000</v>
      </c>
      <c r="V34" s="279">
        <f t="shared" ref="V34:V41" si="15">IF(U34=0,"NA",(+T34-U34)/U34)</f>
        <v>-0.50476999999999994</v>
      </c>
      <c r="W34" s="281" t="s">
        <v>230</v>
      </c>
      <c r="X34" s="65" t="s">
        <v>133</v>
      </c>
    </row>
    <row r="35" spans="1:24" ht="43.5">
      <c r="A35" s="47">
        <v>31</v>
      </c>
      <c r="C35" s="285" t="s">
        <v>18</v>
      </c>
      <c r="D35" s="295"/>
      <c r="E35" s="296"/>
      <c r="F35" s="297"/>
      <c r="G35" s="297"/>
      <c r="H35" s="297"/>
      <c r="I35" s="297"/>
      <c r="J35" s="297"/>
      <c r="K35" s="297"/>
      <c r="L35" s="297"/>
      <c r="M35" s="297"/>
      <c r="N35" s="285"/>
      <c r="O35" s="282">
        <v>1000</v>
      </c>
      <c r="P35" s="282">
        <v>1000</v>
      </c>
      <c r="Q35" s="283">
        <f t="shared" si="13"/>
        <v>0</v>
      </c>
      <c r="R35" s="284">
        <f t="shared" si="14"/>
        <v>0</v>
      </c>
      <c r="S35" s="285"/>
      <c r="T35" s="282">
        <v>548.65</v>
      </c>
      <c r="U35" s="282">
        <v>1000</v>
      </c>
      <c r="V35" s="284">
        <f t="shared" si="15"/>
        <v>-0.45135000000000003</v>
      </c>
      <c r="W35" s="286" t="s">
        <v>238</v>
      </c>
      <c r="X35" s="69" t="s">
        <v>134</v>
      </c>
    </row>
    <row r="36" spans="1:24" ht="58">
      <c r="A36" s="47">
        <v>32</v>
      </c>
      <c r="C36" s="285" t="s">
        <v>239</v>
      </c>
      <c r="D36" s="295"/>
      <c r="E36" s="296"/>
      <c r="F36" s="297"/>
      <c r="G36" s="297"/>
      <c r="H36" s="297"/>
      <c r="I36" s="297"/>
      <c r="J36" s="297"/>
      <c r="K36" s="297"/>
      <c r="L36" s="297"/>
      <c r="M36" s="297"/>
      <c r="N36" s="285"/>
      <c r="O36" s="282">
        <v>1000</v>
      </c>
      <c r="P36" s="282">
        <v>500</v>
      </c>
      <c r="Q36" s="283">
        <f t="shared" si="13"/>
        <v>500</v>
      </c>
      <c r="R36" s="284">
        <f t="shared" si="14"/>
        <v>1</v>
      </c>
      <c r="S36" s="285"/>
      <c r="T36" s="282">
        <v>0</v>
      </c>
      <c r="U36" s="282">
        <v>500</v>
      </c>
      <c r="V36" s="284">
        <f t="shared" si="15"/>
        <v>-1</v>
      </c>
      <c r="W36" s="286" t="s">
        <v>272</v>
      </c>
      <c r="X36" s="69" t="s">
        <v>135</v>
      </c>
    </row>
    <row r="37" spans="1:24" ht="32" customHeight="1">
      <c r="A37" s="47">
        <v>33</v>
      </c>
      <c r="C37" s="285" t="s">
        <v>19</v>
      </c>
      <c r="D37" s="295"/>
      <c r="E37" s="296"/>
      <c r="F37" s="297"/>
      <c r="G37" s="297"/>
      <c r="H37" s="297"/>
      <c r="I37" s="297"/>
      <c r="J37" s="297"/>
      <c r="K37" s="297"/>
      <c r="L37" s="297"/>
      <c r="M37" s="297"/>
      <c r="N37" s="285"/>
      <c r="O37" s="282">
        <v>300</v>
      </c>
      <c r="P37" s="282">
        <v>200</v>
      </c>
      <c r="Q37" s="283">
        <f t="shared" si="13"/>
        <v>100</v>
      </c>
      <c r="R37" s="284">
        <f t="shared" si="14"/>
        <v>0.5</v>
      </c>
      <c r="S37" s="285"/>
      <c r="T37" s="282">
        <v>197.8</v>
      </c>
      <c r="U37" s="282">
        <v>200</v>
      </c>
      <c r="V37" s="284">
        <f t="shared" si="15"/>
        <v>-1.0999999999999944E-2</v>
      </c>
      <c r="W37" s="286" t="s">
        <v>231</v>
      </c>
      <c r="X37" s="65" t="s">
        <v>136</v>
      </c>
    </row>
    <row r="38" spans="1:24" ht="14.5" customHeight="1">
      <c r="A38" s="47">
        <v>34</v>
      </c>
      <c r="C38" s="285" t="s">
        <v>20</v>
      </c>
      <c r="D38" s="295"/>
      <c r="E38" s="296"/>
      <c r="F38" s="297"/>
      <c r="G38" s="297"/>
      <c r="H38" s="297"/>
      <c r="I38" s="297"/>
      <c r="J38" s="297"/>
      <c r="K38" s="297"/>
      <c r="L38" s="297"/>
      <c r="M38" s="297"/>
      <c r="N38" s="285"/>
      <c r="O38" s="282">
        <v>200</v>
      </c>
      <c r="P38" s="282">
        <v>200</v>
      </c>
      <c r="Q38" s="283">
        <f t="shared" si="13"/>
        <v>0</v>
      </c>
      <c r="R38" s="284">
        <f t="shared" si="14"/>
        <v>0</v>
      </c>
      <c r="S38" s="285"/>
      <c r="T38" s="282">
        <v>63.83</v>
      </c>
      <c r="U38" s="282">
        <v>200</v>
      </c>
      <c r="V38" s="284">
        <f t="shared" si="15"/>
        <v>-0.68085000000000007</v>
      </c>
      <c r="W38" s="286" t="s">
        <v>232</v>
      </c>
      <c r="X38" s="69" t="s">
        <v>137</v>
      </c>
    </row>
    <row r="39" spans="1:24">
      <c r="C39" s="285" t="s">
        <v>114</v>
      </c>
      <c r="D39" s="295"/>
      <c r="E39" s="296"/>
      <c r="F39" s="297"/>
      <c r="G39" s="297"/>
      <c r="H39" s="297"/>
      <c r="I39" s="297"/>
      <c r="J39" s="297"/>
      <c r="K39" s="297"/>
      <c r="L39" s="297"/>
      <c r="M39" s="297"/>
      <c r="N39" s="285"/>
      <c r="O39" s="282">
        <v>750</v>
      </c>
      <c r="P39" s="282">
        <v>750</v>
      </c>
      <c r="Q39" s="283">
        <f t="shared" si="13"/>
        <v>0</v>
      </c>
      <c r="R39" s="284">
        <f t="shared" ref="R39" si="16">IF(P39=0,"NA",(+O39-P39)/P39)</f>
        <v>0</v>
      </c>
      <c r="S39" s="285"/>
      <c r="T39" s="282">
        <v>141.46</v>
      </c>
      <c r="U39" s="282">
        <v>750</v>
      </c>
      <c r="V39" s="284">
        <f t="shared" ref="V39" si="17">IF(U39=0,"NA",(+T39-U39)/U39)</f>
        <v>-0.81138666666666659</v>
      </c>
      <c r="W39" s="286" t="s">
        <v>234</v>
      </c>
      <c r="X39" s="69" t="s">
        <v>138</v>
      </c>
    </row>
    <row r="40" spans="1:24" ht="14.4" customHeight="1">
      <c r="A40" s="47">
        <v>35</v>
      </c>
      <c r="C40" s="290" t="s">
        <v>92</v>
      </c>
      <c r="D40" s="298"/>
      <c r="E40" s="299"/>
      <c r="F40" s="300"/>
      <c r="G40" s="300"/>
      <c r="H40" s="300"/>
      <c r="I40" s="300"/>
      <c r="J40" s="300"/>
      <c r="K40" s="300"/>
      <c r="L40" s="300"/>
      <c r="M40" s="300"/>
      <c r="N40" s="290"/>
      <c r="O40" s="287">
        <v>200</v>
      </c>
      <c r="P40" s="287">
        <v>200</v>
      </c>
      <c r="Q40" s="288">
        <f t="shared" si="13"/>
        <v>0</v>
      </c>
      <c r="R40" s="289">
        <f t="shared" si="14"/>
        <v>0</v>
      </c>
      <c r="S40" s="290"/>
      <c r="T40" s="287">
        <v>390.02</v>
      </c>
      <c r="U40" s="287">
        <v>200</v>
      </c>
      <c r="V40" s="289">
        <f t="shared" si="15"/>
        <v>0.95009999999999994</v>
      </c>
      <c r="W40" s="291" t="s">
        <v>233</v>
      </c>
      <c r="X40" s="69" t="s">
        <v>139</v>
      </c>
    </row>
    <row r="41" spans="1:24" s="4" customFormat="1">
      <c r="A41" s="47">
        <v>36</v>
      </c>
      <c r="B41" s="22" t="s">
        <v>21</v>
      </c>
      <c r="C41" s="22"/>
      <c r="D41" s="39"/>
      <c r="E41" s="95"/>
      <c r="F41" s="95"/>
      <c r="G41" s="95"/>
      <c r="H41" s="95"/>
      <c r="I41" s="95"/>
      <c r="J41" s="95"/>
      <c r="K41" s="95"/>
      <c r="L41" s="95"/>
      <c r="M41" s="95"/>
      <c r="N41" s="39"/>
      <c r="O41" s="22">
        <f>SUM(O34:O40)</f>
        <v>5450</v>
      </c>
      <c r="P41" s="39">
        <f>SUM(P34:P40)</f>
        <v>4850</v>
      </c>
      <c r="Q41" s="39">
        <f>SUM(Q34:Q40)</f>
        <v>600</v>
      </c>
      <c r="R41" s="23">
        <f t="shared" si="14"/>
        <v>0.12371134020618557</v>
      </c>
      <c r="T41" s="39">
        <f t="shared" ref="T41:U41" si="18">SUM(T34:T40)</f>
        <v>2332.2200000000003</v>
      </c>
      <c r="U41" s="39">
        <f t="shared" si="18"/>
        <v>4850</v>
      </c>
      <c r="V41" s="23">
        <f t="shared" si="15"/>
        <v>-0.51912989690721645</v>
      </c>
      <c r="W41" s="84"/>
      <c r="X41" s="68"/>
    </row>
    <row r="42" spans="1:24" ht="6" customHeight="1">
      <c r="A42" s="47">
        <v>37</v>
      </c>
      <c r="R42" s="7"/>
      <c r="W42" s="82"/>
      <c r="X42" s="66"/>
    </row>
    <row r="43" spans="1:24">
      <c r="A43" s="47">
        <v>40</v>
      </c>
      <c r="B43" s="4" t="s">
        <v>168</v>
      </c>
      <c r="R43" s="7"/>
      <c r="W43" s="82"/>
      <c r="X43" s="66"/>
    </row>
    <row r="44" spans="1:24" ht="27.5" customHeight="1">
      <c r="A44" s="47">
        <v>41</v>
      </c>
      <c r="C44" s="280" t="s">
        <v>22</v>
      </c>
      <c r="D44" s="292"/>
      <c r="E44" s="293"/>
      <c r="F44" s="294"/>
      <c r="G44" s="294"/>
      <c r="H44" s="294"/>
      <c r="I44" s="294"/>
      <c r="J44" s="294"/>
      <c r="K44" s="294"/>
      <c r="L44" s="294"/>
      <c r="M44" s="294"/>
      <c r="N44" s="280"/>
      <c r="O44" s="305">
        <f>5000-1000</f>
        <v>4000</v>
      </c>
      <c r="P44" s="277">
        <v>5000</v>
      </c>
      <c r="Q44" s="278">
        <f t="shared" ref="Q44:Q47" si="19">+O44-P44</f>
        <v>-1000</v>
      </c>
      <c r="R44" s="279">
        <f t="shared" ref="R44:R48" si="20">IF(P44=0,"NA",(+O44-P44)/P44)</f>
        <v>-0.2</v>
      </c>
      <c r="S44" s="280"/>
      <c r="T44" s="277">
        <v>4878.71</v>
      </c>
      <c r="U44" s="277">
        <v>5000</v>
      </c>
      <c r="V44" s="279">
        <f>IF(U44=0,"NA",(+T44-U44)/U44)</f>
        <v>-2.4257999999999991E-2</v>
      </c>
      <c r="W44" s="281" t="s">
        <v>397</v>
      </c>
      <c r="X44" s="69" t="s">
        <v>160</v>
      </c>
    </row>
    <row r="45" spans="1:24">
      <c r="C45" s="285" t="s">
        <v>174</v>
      </c>
      <c r="D45" s="295"/>
      <c r="E45" s="296"/>
      <c r="F45" s="297"/>
      <c r="G45" s="297"/>
      <c r="H45" s="297"/>
      <c r="I45" s="297"/>
      <c r="J45" s="297"/>
      <c r="K45" s="297"/>
      <c r="L45" s="297"/>
      <c r="M45" s="297"/>
      <c r="N45" s="285"/>
      <c r="O45" s="282">
        <v>0</v>
      </c>
      <c r="P45" s="282">
        <v>0</v>
      </c>
      <c r="Q45" s="283">
        <f t="shared" ref="Q45" si="21">+O45-P45</f>
        <v>0</v>
      </c>
      <c r="R45" s="284" t="str">
        <f t="shared" ref="R45" si="22">IF(P45=0,"NA",(+O45-P45)/P45)</f>
        <v>NA</v>
      </c>
      <c r="S45" s="285"/>
      <c r="T45" s="282">
        <v>0</v>
      </c>
      <c r="U45" s="282">
        <v>0</v>
      </c>
      <c r="V45" s="284" t="str">
        <f>IF(U45=0,"NA",(+T45-U45)/U45)</f>
        <v>NA</v>
      </c>
      <c r="W45" s="286" t="s">
        <v>175</v>
      </c>
      <c r="X45" s="69"/>
    </row>
    <row r="46" spans="1:24">
      <c r="A46" s="47">
        <v>43</v>
      </c>
      <c r="C46" s="285" t="s">
        <v>23</v>
      </c>
      <c r="D46" s="295"/>
      <c r="E46" s="296"/>
      <c r="F46" s="297"/>
      <c r="G46" s="297"/>
      <c r="H46" s="297"/>
      <c r="I46" s="297"/>
      <c r="J46" s="297"/>
      <c r="K46" s="297"/>
      <c r="L46" s="297"/>
      <c r="M46" s="297"/>
      <c r="N46" s="285"/>
      <c r="O46" s="282">
        <v>100</v>
      </c>
      <c r="P46" s="282">
        <v>100</v>
      </c>
      <c r="Q46" s="283">
        <f t="shared" si="19"/>
        <v>0</v>
      </c>
      <c r="R46" s="284">
        <f t="shared" si="20"/>
        <v>0</v>
      </c>
      <c r="S46" s="285"/>
      <c r="T46" s="282">
        <v>89.1</v>
      </c>
      <c r="U46" s="282">
        <v>100</v>
      </c>
      <c r="V46" s="284">
        <f>IF(U46=0,"NA",(+T46-U46)/U46)</f>
        <v>-0.10900000000000006</v>
      </c>
      <c r="W46" s="286" t="s">
        <v>175</v>
      </c>
      <c r="X46" s="65" t="s">
        <v>159</v>
      </c>
    </row>
    <row r="47" spans="1:24">
      <c r="A47" s="47">
        <v>44</v>
      </c>
      <c r="C47" s="290" t="s">
        <v>24</v>
      </c>
      <c r="D47" s="298"/>
      <c r="E47" s="299"/>
      <c r="F47" s="300"/>
      <c r="G47" s="300"/>
      <c r="H47" s="300"/>
      <c r="I47" s="300"/>
      <c r="J47" s="300"/>
      <c r="K47" s="300"/>
      <c r="L47" s="300"/>
      <c r="M47" s="300"/>
      <c r="N47" s="290"/>
      <c r="O47" s="287">
        <v>200</v>
      </c>
      <c r="P47" s="287">
        <v>200</v>
      </c>
      <c r="Q47" s="288">
        <f t="shared" si="19"/>
        <v>0</v>
      </c>
      <c r="R47" s="289">
        <f t="shared" si="20"/>
        <v>0</v>
      </c>
      <c r="S47" s="290"/>
      <c r="T47" s="287">
        <v>-36.5</v>
      </c>
      <c r="U47" s="287">
        <v>200</v>
      </c>
      <c r="V47" s="289">
        <f>IF(U47=0,"NA",(+T47-U47)/U47)</f>
        <v>-1.1825000000000001</v>
      </c>
      <c r="W47" s="291" t="s">
        <v>175</v>
      </c>
      <c r="X47" s="66"/>
    </row>
    <row r="48" spans="1:24" s="4" customFormat="1">
      <c r="A48" s="47">
        <v>45</v>
      </c>
      <c r="B48" s="22" t="s">
        <v>169</v>
      </c>
      <c r="C48" s="22"/>
      <c r="D48" s="39"/>
      <c r="E48" s="95"/>
      <c r="F48" s="95"/>
      <c r="G48" s="95"/>
      <c r="H48" s="95"/>
      <c r="I48" s="95"/>
      <c r="J48" s="95"/>
      <c r="K48" s="95"/>
      <c r="L48" s="95"/>
      <c r="M48" s="95"/>
      <c r="N48" s="39"/>
      <c r="O48" s="22">
        <f>SUM(O44:O47)</f>
        <v>4300</v>
      </c>
      <c r="P48" s="39">
        <f>SUM(P44:P47)</f>
        <v>5300</v>
      </c>
      <c r="Q48" s="39">
        <f>SUM(Q44:Q47)</f>
        <v>-1000</v>
      </c>
      <c r="R48" s="23">
        <f t="shared" si="20"/>
        <v>-0.18867924528301888</v>
      </c>
      <c r="T48" s="39">
        <f>SUM(T44:T47)</f>
        <v>4931.3100000000004</v>
      </c>
      <c r="U48" s="39">
        <f>SUM(U44:U47)</f>
        <v>5300</v>
      </c>
      <c r="V48" s="23">
        <f>IF(U48=0,"NA",(+T48-U48)/U48)</f>
        <v>-6.9564150943396144E-2</v>
      </c>
      <c r="W48" s="82"/>
      <c r="X48" s="66"/>
    </row>
    <row r="49" spans="1:24" ht="6.75" customHeight="1">
      <c r="A49" s="47">
        <v>46</v>
      </c>
      <c r="D49" s="1"/>
      <c r="E49" s="42"/>
      <c r="R49" s="7"/>
      <c r="W49" s="82"/>
      <c r="X49" s="66"/>
    </row>
    <row r="50" spans="1:24" s="4" customFormat="1" ht="43.5">
      <c r="A50" s="47">
        <v>51</v>
      </c>
      <c r="B50" s="22" t="s">
        <v>25</v>
      </c>
      <c r="C50" s="22"/>
      <c r="D50" s="39"/>
      <c r="E50" s="95"/>
      <c r="F50" s="95"/>
      <c r="G50" s="95"/>
      <c r="H50" s="95"/>
      <c r="I50" s="95"/>
      <c r="J50" s="95"/>
      <c r="K50" s="95"/>
      <c r="L50" s="95"/>
      <c r="M50" s="95"/>
      <c r="N50" s="39"/>
      <c r="O50" s="55">
        <v>12800</v>
      </c>
      <c r="P50" s="55">
        <v>12800</v>
      </c>
      <c r="Q50" s="49">
        <f t="shared" ref="Q50" si="23">+O50-P50</f>
        <v>0</v>
      </c>
      <c r="R50" s="23">
        <f t="shared" ref="R50" si="24">IF(P50=0,"NA",(+O50-P50)/P50)</f>
        <v>0</v>
      </c>
      <c r="T50" s="55">
        <v>12288.13</v>
      </c>
      <c r="U50" s="55">
        <v>12800</v>
      </c>
      <c r="V50" s="23">
        <f>IF(U50=0,"NA",(+T50-U50)/U50)</f>
        <v>-3.9989843750000059E-2</v>
      </c>
      <c r="W50" s="69" t="s">
        <v>235</v>
      </c>
      <c r="X50" s="65"/>
    </row>
    <row r="51" spans="1:24" ht="6.75" customHeight="1">
      <c r="A51" s="47">
        <v>52</v>
      </c>
      <c r="R51" s="7"/>
      <c r="W51" s="82"/>
      <c r="X51" s="66"/>
    </row>
    <row r="52" spans="1:24">
      <c r="A52" s="47">
        <v>53</v>
      </c>
      <c r="B52" s="4" t="s">
        <v>98</v>
      </c>
      <c r="R52" s="7"/>
      <c r="W52" s="82"/>
      <c r="X52" s="66"/>
    </row>
    <row r="53" spans="1:24">
      <c r="A53" s="47">
        <v>54</v>
      </c>
      <c r="C53" s="280" t="s">
        <v>100</v>
      </c>
      <c r="D53" s="292"/>
      <c r="E53" s="293"/>
      <c r="F53" s="294"/>
      <c r="G53" s="294"/>
      <c r="H53" s="294"/>
      <c r="I53" s="294"/>
      <c r="J53" s="294"/>
      <c r="K53" s="294"/>
      <c r="L53" s="294"/>
      <c r="M53" s="294"/>
      <c r="N53" s="280"/>
      <c r="O53" s="277">
        <v>400</v>
      </c>
      <c r="P53" s="277">
        <v>400</v>
      </c>
      <c r="Q53" s="278">
        <f t="shared" ref="Q53:Q54" si="25">+O53-P53</f>
        <v>0</v>
      </c>
      <c r="R53" s="279">
        <f t="shared" ref="R53:R55" si="26">IF(P53=0,"NA",(+O53-P53)/P53)</f>
        <v>0</v>
      </c>
      <c r="S53" s="280"/>
      <c r="T53" s="277">
        <v>385.82</v>
      </c>
      <c r="U53" s="277">
        <v>400</v>
      </c>
      <c r="V53" s="279">
        <f>IF(U53=0,"NA",(+T53-U53)/U53)</f>
        <v>-3.5450000000000016E-2</v>
      </c>
      <c r="W53" s="281" t="s">
        <v>273</v>
      </c>
      <c r="X53" s="65"/>
    </row>
    <row r="54" spans="1:24">
      <c r="A54" s="47">
        <v>55</v>
      </c>
      <c r="C54" s="290" t="s">
        <v>95</v>
      </c>
      <c r="D54" s="298"/>
      <c r="E54" s="299"/>
      <c r="F54" s="300"/>
      <c r="G54" s="300"/>
      <c r="H54" s="300"/>
      <c r="I54" s="300"/>
      <c r="J54" s="300"/>
      <c r="K54" s="300"/>
      <c r="L54" s="300"/>
      <c r="M54" s="300"/>
      <c r="N54" s="290"/>
      <c r="O54" s="287">
        <v>150</v>
      </c>
      <c r="P54" s="287">
        <v>150</v>
      </c>
      <c r="Q54" s="288">
        <f t="shared" si="25"/>
        <v>0</v>
      </c>
      <c r="R54" s="289">
        <f t="shared" si="26"/>
        <v>0</v>
      </c>
      <c r="S54" s="290"/>
      <c r="T54" s="287">
        <v>77.63</v>
      </c>
      <c r="U54" s="287">
        <v>150</v>
      </c>
      <c r="V54" s="289">
        <f>IF(U54=0,"NA",(+T54-U54)/U54)</f>
        <v>-0.48246666666666671</v>
      </c>
      <c r="W54" s="291" t="s">
        <v>273</v>
      </c>
      <c r="X54" s="65"/>
    </row>
    <row r="55" spans="1:24" s="4" customFormat="1" ht="29">
      <c r="A55" s="47">
        <v>56</v>
      </c>
      <c r="B55" s="22" t="s">
        <v>94</v>
      </c>
      <c r="C55" s="22"/>
      <c r="D55" s="39"/>
      <c r="E55" s="95"/>
      <c r="F55" s="95"/>
      <c r="G55" s="95"/>
      <c r="H55" s="95"/>
      <c r="I55" s="95"/>
      <c r="J55" s="95"/>
      <c r="K55" s="95"/>
      <c r="L55" s="95"/>
      <c r="M55" s="95"/>
      <c r="N55" s="39"/>
      <c r="O55" s="22">
        <f>SUM(O53:O54)</f>
        <v>550</v>
      </c>
      <c r="P55" s="39">
        <f>SUM(P53:P54)</f>
        <v>550</v>
      </c>
      <c r="Q55" s="39">
        <f>SUM(Q53:Q54)</f>
        <v>0</v>
      </c>
      <c r="R55" s="23">
        <f t="shared" si="26"/>
        <v>0</v>
      </c>
      <c r="T55" s="39">
        <f>SUM(T53:T54)</f>
        <v>463.45</v>
      </c>
      <c r="U55" s="39">
        <f>SUM(U53:U54)</f>
        <v>550</v>
      </c>
      <c r="V55" s="23">
        <f>IF(U55=0,"NA",(+T55-U55)/U55)</f>
        <v>-0.15736363636363637</v>
      </c>
      <c r="W55" s="84" t="s">
        <v>308</v>
      </c>
      <c r="X55" s="68"/>
    </row>
    <row r="56" spans="1:24" ht="5.25" customHeight="1">
      <c r="A56" s="47">
        <v>57</v>
      </c>
      <c r="R56" s="7"/>
      <c r="W56" s="82"/>
      <c r="X56" s="66"/>
    </row>
    <row r="57" spans="1:24" ht="43.5">
      <c r="A57" s="47">
        <v>58</v>
      </c>
      <c r="B57" s="22" t="s">
        <v>26</v>
      </c>
      <c r="C57" s="24"/>
      <c r="D57" s="24"/>
      <c r="E57" s="96"/>
      <c r="F57" s="96"/>
      <c r="G57" s="96"/>
      <c r="H57" s="96"/>
      <c r="I57" s="96"/>
      <c r="J57" s="96"/>
      <c r="K57" s="96"/>
      <c r="L57" s="96"/>
      <c r="M57" s="96"/>
      <c r="N57" s="24"/>
      <c r="O57" s="60">
        <v>200</v>
      </c>
      <c r="P57" s="60">
        <v>200</v>
      </c>
      <c r="Q57" s="49">
        <f t="shared" ref="Q57" si="27">+O57-P57</f>
        <v>0</v>
      </c>
      <c r="R57" s="23">
        <f>IF(P57=0,"NA",(+O57-P57)/P57)</f>
        <v>0</v>
      </c>
      <c r="T57" s="60">
        <v>250</v>
      </c>
      <c r="U57" s="60">
        <v>200</v>
      </c>
      <c r="V57" s="23">
        <f>IF(U57=0,"NA",(+T57-U57)/U57)</f>
        <v>0.25</v>
      </c>
      <c r="W57" s="69" t="s">
        <v>240</v>
      </c>
      <c r="X57" s="65" t="s">
        <v>127</v>
      </c>
    </row>
    <row r="58" spans="1:24" ht="6" customHeight="1">
      <c r="A58" s="47">
        <v>59</v>
      </c>
      <c r="R58" s="7"/>
      <c r="W58" s="82"/>
      <c r="X58" s="66"/>
    </row>
    <row r="59" spans="1:24">
      <c r="A59" s="47">
        <v>60</v>
      </c>
      <c r="B59" s="4" t="s">
        <v>27</v>
      </c>
      <c r="R59" s="7"/>
      <c r="W59" s="82"/>
      <c r="X59" s="66"/>
    </row>
    <row r="60" spans="1:24">
      <c r="A60" s="47">
        <v>61</v>
      </c>
      <c r="C60" s="280" t="s">
        <v>28</v>
      </c>
      <c r="D60" s="292"/>
      <c r="E60" s="293"/>
      <c r="F60" s="294"/>
      <c r="G60" s="294"/>
      <c r="H60" s="294"/>
      <c r="I60" s="294"/>
      <c r="J60" s="294"/>
      <c r="K60" s="294"/>
      <c r="L60" s="294"/>
      <c r="M60" s="294"/>
      <c r="N60" s="280"/>
      <c r="O60" s="305">
        <v>200</v>
      </c>
      <c r="P60" s="277">
        <v>200</v>
      </c>
      <c r="Q60" s="278">
        <f t="shared" ref="Q60:Q66" si="28">+O60-P60</f>
        <v>0</v>
      </c>
      <c r="R60" s="279">
        <f t="shared" ref="R60:R67" si="29">IF(P60=0,"NA",(+O60-P60)/P60)</f>
        <v>0</v>
      </c>
      <c r="S60" s="280"/>
      <c r="T60" s="277">
        <v>0</v>
      </c>
      <c r="U60" s="277">
        <v>200</v>
      </c>
      <c r="V60" s="279">
        <f t="shared" ref="V60:V67" si="30">IF(U60=0,"NA",(+T60-U60)/U60)</f>
        <v>-1</v>
      </c>
      <c r="W60" s="281" t="s">
        <v>273</v>
      </c>
      <c r="X60" s="66"/>
    </row>
    <row r="61" spans="1:24" ht="15.5">
      <c r="A61" s="47">
        <v>62</v>
      </c>
      <c r="C61" s="285" t="s">
        <v>29</v>
      </c>
      <c r="D61" s="295"/>
      <c r="E61" s="296"/>
      <c r="F61" s="297"/>
      <c r="G61" s="297"/>
      <c r="H61" s="297"/>
      <c r="I61" s="297"/>
      <c r="J61" s="297"/>
      <c r="K61" s="297"/>
      <c r="L61" s="297"/>
      <c r="M61" s="297"/>
      <c r="N61" s="285"/>
      <c r="O61" s="303">
        <v>800</v>
      </c>
      <c r="P61" s="282">
        <v>800</v>
      </c>
      <c r="Q61" s="283">
        <f t="shared" si="28"/>
        <v>0</v>
      </c>
      <c r="R61" s="284">
        <f t="shared" si="29"/>
        <v>0</v>
      </c>
      <c r="S61" s="285"/>
      <c r="T61" s="282">
        <v>779</v>
      </c>
      <c r="U61" s="282">
        <v>800</v>
      </c>
      <c r="V61" s="284">
        <f t="shared" si="30"/>
        <v>-2.6249999999999999E-2</v>
      </c>
      <c r="W61" s="286"/>
      <c r="X61" s="70" t="s">
        <v>125</v>
      </c>
    </row>
    <row r="62" spans="1:24" ht="29">
      <c r="A62" s="47">
        <v>63</v>
      </c>
      <c r="C62" s="285" t="s">
        <v>30</v>
      </c>
      <c r="D62" s="295"/>
      <c r="E62" s="296"/>
      <c r="F62" s="297"/>
      <c r="G62" s="297"/>
      <c r="H62" s="297"/>
      <c r="I62" s="297"/>
      <c r="J62" s="297"/>
      <c r="K62" s="297"/>
      <c r="L62" s="297"/>
      <c r="M62" s="297"/>
      <c r="N62" s="285"/>
      <c r="O62" s="303">
        <v>1000</v>
      </c>
      <c r="P62" s="303">
        <v>1500</v>
      </c>
      <c r="Q62" s="283">
        <f t="shared" si="28"/>
        <v>-500</v>
      </c>
      <c r="R62" s="284">
        <f t="shared" si="29"/>
        <v>-0.33333333333333331</v>
      </c>
      <c r="S62" s="285"/>
      <c r="T62" s="282">
        <v>918.16</v>
      </c>
      <c r="U62" s="282">
        <v>1500</v>
      </c>
      <c r="V62" s="284">
        <f t="shared" si="30"/>
        <v>-0.38789333333333337</v>
      </c>
      <c r="W62" s="286" t="s">
        <v>241</v>
      </c>
      <c r="X62" s="71"/>
    </row>
    <row r="63" spans="1:24">
      <c r="A63" s="47">
        <v>64</v>
      </c>
      <c r="C63" s="285" t="s">
        <v>31</v>
      </c>
      <c r="D63" s="295"/>
      <c r="E63" s="296"/>
      <c r="F63" s="297"/>
      <c r="G63" s="297"/>
      <c r="H63" s="297"/>
      <c r="I63" s="297"/>
      <c r="J63" s="297"/>
      <c r="K63" s="297"/>
      <c r="L63" s="297"/>
      <c r="M63" s="297"/>
      <c r="N63" s="285"/>
      <c r="O63" s="303">
        <v>3000</v>
      </c>
      <c r="P63" s="303">
        <v>3000</v>
      </c>
      <c r="Q63" s="283">
        <f t="shared" si="28"/>
        <v>0</v>
      </c>
      <c r="R63" s="284">
        <f t="shared" si="29"/>
        <v>0</v>
      </c>
      <c r="S63" s="285"/>
      <c r="T63" s="282">
        <v>1728.11</v>
      </c>
      <c r="U63" s="282">
        <v>3000</v>
      </c>
      <c r="V63" s="284">
        <f t="shared" si="30"/>
        <v>-0.42396333333333336</v>
      </c>
      <c r="W63" s="286" t="s">
        <v>242</v>
      </c>
      <c r="X63" s="69"/>
    </row>
    <row r="64" spans="1:24">
      <c r="C64" s="285" t="s">
        <v>118</v>
      </c>
      <c r="D64" s="295"/>
      <c r="E64" s="296"/>
      <c r="F64" s="297"/>
      <c r="G64" s="297"/>
      <c r="H64" s="297"/>
      <c r="I64" s="297"/>
      <c r="J64" s="297"/>
      <c r="K64" s="297"/>
      <c r="L64" s="297"/>
      <c r="M64" s="297"/>
      <c r="N64" s="285"/>
      <c r="O64" s="303">
        <v>200</v>
      </c>
      <c r="P64" s="303">
        <v>200</v>
      </c>
      <c r="Q64" s="283">
        <f t="shared" ref="Q64" si="31">+O64-P64</f>
        <v>0</v>
      </c>
      <c r="R64" s="284">
        <f t="shared" ref="R64" si="32">IF(P64=0,"NA",(+O64-P64)/P64)</f>
        <v>0</v>
      </c>
      <c r="S64" s="285"/>
      <c r="T64" s="282">
        <v>50</v>
      </c>
      <c r="U64" s="282">
        <v>200</v>
      </c>
      <c r="V64" s="284">
        <f t="shared" ref="V64" si="33">IF(U64=0,"NA",(+T64-U64)/U64)</f>
        <v>-0.75</v>
      </c>
      <c r="W64" s="286"/>
      <c r="X64" s="69"/>
    </row>
    <row r="65" spans="1:24">
      <c r="C65" s="285" t="s">
        <v>225</v>
      </c>
      <c r="D65" s="295"/>
      <c r="E65" s="296"/>
      <c r="F65" s="297"/>
      <c r="G65" s="297"/>
      <c r="H65" s="297"/>
      <c r="I65" s="297"/>
      <c r="J65" s="297"/>
      <c r="K65" s="297"/>
      <c r="L65" s="297"/>
      <c r="M65" s="297"/>
      <c r="N65" s="285"/>
      <c r="O65" s="303">
        <v>0</v>
      </c>
      <c r="P65" s="303">
        <v>0</v>
      </c>
      <c r="Q65" s="283">
        <f t="shared" ref="Q65" si="34">+O65-P65</f>
        <v>0</v>
      </c>
      <c r="R65" s="284" t="str">
        <f t="shared" ref="R65" si="35">IF(P65=0,"NA",(+O65-P65)/P65)</f>
        <v>NA</v>
      </c>
      <c r="S65" s="285"/>
      <c r="T65" s="282">
        <v>221.01</v>
      </c>
      <c r="U65" s="282">
        <v>0</v>
      </c>
      <c r="V65" s="284" t="str">
        <f t="shared" ref="V65" si="36">IF(U65=0,"NA",(+T65-U65)/U65)</f>
        <v>NA</v>
      </c>
      <c r="W65" s="286" t="s">
        <v>274</v>
      </c>
      <c r="X65" s="69"/>
    </row>
    <row r="66" spans="1:24" ht="43.5">
      <c r="A66" s="47">
        <v>65</v>
      </c>
      <c r="C66" s="290" t="s">
        <v>124</v>
      </c>
      <c r="D66" s="298"/>
      <c r="E66" s="299"/>
      <c r="F66" s="300"/>
      <c r="G66" s="300"/>
      <c r="H66" s="300"/>
      <c r="I66" s="300"/>
      <c r="J66" s="300"/>
      <c r="K66" s="300"/>
      <c r="L66" s="300"/>
      <c r="M66" s="300"/>
      <c r="N66" s="290"/>
      <c r="O66" s="304">
        <v>1575</v>
      </c>
      <c r="P66" s="287">
        <v>1000</v>
      </c>
      <c r="Q66" s="288">
        <f t="shared" si="28"/>
        <v>575</v>
      </c>
      <c r="R66" s="289">
        <f t="shared" si="29"/>
        <v>0.57499999999999996</v>
      </c>
      <c r="S66" s="290"/>
      <c r="T66" s="304">
        <v>1339.37</v>
      </c>
      <c r="U66" s="304">
        <v>1000</v>
      </c>
      <c r="V66" s="289">
        <f t="shared" si="30"/>
        <v>0.33936999999999989</v>
      </c>
      <c r="W66" s="291" t="s">
        <v>243</v>
      </c>
      <c r="X66" s="65" t="s">
        <v>125</v>
      </c>
    </row>
    <row r="67" spans="1:24" s="4" customFormat="1">
      <c r="A67" s="47">
        <v>66</v>
      </c>
      <c r="B67" s="22" t="s">
        <v>32</v>
      </c>
      <c r="C67" s="22"/>
      <c r="D67" s="39"/>
      <c r="E67" s="95"/>
      <c r="F67" s="95"/>
      <c r="G67" s="95"/>
      <c r="H67" s="95"/>
      <c r="I67" s="95"/>
      <c r="J67" s="95"/>
      <c r="K67" s="95"/>
      <c r="L67" s="95"/>
      <c r="M67" s="95"/>
      <c r="N67" s="39"/>
      <c r="O67" s="22">
        <f>SUM(O60:O66)</f>
        <v>6775</v>
      </c>
      <c r="P67" s="39">
        <f>SUM(P60:P66)</f>
        <v>6700</v>
      </c>
      <c r="Q67" s="39">
        <f>SUM(Q60:Q66)</f>
        <v>75</v>
      </c>
      <c r="R67" s="23">
        <f t="shared" si="29"/>
        <v>1.1194029850746268E-2</v>
      </c>
      <c r="T67" s="39">
        <f>SUM(T60:T66)</f>
        <v>5035.6499999999996</v>
      </c>
      <c r="U67" s="39">
        <f>SUM(U60:U66)</f>
        <v>6700</v>
      </c>
      <c r="V67" s="23">
        <f t="shared" si="30"/>
        <v>-0.24841044776119409</v>
      </c>
      <c r="W67" s="84"/>
      <c r="X67" s="68"/>
    </row>
    <row r="68" spans="1:24" ht="6" customHeight="1">
      <c r="A68" s="47">
        <v>67</v>
      </c>
      <c r="R68" s="7"/>
      <c r="W68" s="82"/>
      <c r="X68" s="66"/>
    </row>
    <row r="69" spans="1:24">
      <c r="A69" s="47">
        <v>68</v>
      </c>
      <c r="B69" s="4" t="s">
        <v>33</v>
      </c>
      <c r="R69" s="7"/>
      <c r="W69" s="82"/>
      <c r="X69" s="66"/>
    </row>
    <row r="70" spans="1:24" ht="14.4" customHeight="1">
      <c r="A70" s="47">
        <v>69</v>
      </c>
      <c r="C70" s="280" t="s">
        <v>34</v>
      </c>
      <c r="D70" s="292"/>
      <c r="E70" s="293"/>
      <c r="F70" s="294"/>
      <c r="G70" s="294"/>
      <c r="H70" s="294"/>
      <c r="I70" s="294"/>
      <c r="J70" s="294"/>
      <c r="K70" s="294"/>
      <c r="L70" s="294"/>
      <c r="M70" s="294"/>
      <c r="N70" s="280"/>
      <c r="O70" s="305">
        <v>3500</v>
      </c>
      <c r="P70" s="305">
        <v>3000</v>
      </c>
      <c r="Q70" s="278">
        <f t="shared" ref="Q70:Q74" si="37">+O70-P70</f>
        <v>500</v>
      </c>
      <c r="R70" s="279">
        <f t="shared" ref="R70:R76" si="38">IF(P70=0,"NA",(+O70-P70)/P70)</f>
        <v>0.16666666666666666</v>
      </c>
      <c r="S70" s="280"/>
      <c r="T70" s="277">
        <v>3777.45</v>
      </c>
      <c r="U70" s="277">
        <v>3000</v>
      </c>
      <c r="V70" s="279">
        <f t="shared" ref="V70:V76" si="39">IF(U70=0,"NA",(+T70-U70)/U70)</f>
        <v>0.25914999999999994</v>
      </c>
      <c r="W70" s="281" t="s">
        <v>275</v>
      </c>
      <c r="X70" s="69" t="s">
        <v>140</v>
      </c>
    </row>
    <row r="71" spans="1:24">
      <c r="A71" s="47">
        <v>70</v>
      </c>
      <c r="C71" s="285" t="s">
        <v>35</v>
      </c>
      <c r="D71" s="295"/>
      <c r="E71" s="296"/>
      <c r="F71" s="297"/>
      <c r="G71" s="297"/>
      <c r="H71" s="297"/>
      <c r="I71" s="297"/>
      <c r="J71" s="297"/>
      <c r="K71" s="297"/>
      <c r="L71" s="297"/>
      <c r="M71" s="297"/>
      <c r="N71" s="285"/>
      <c r="O71" s="282">
        <v>3250</v>
      </c>
      <c r="P71" s="282">
        <v>3250</v>
      </c>
      <c r="Q71" s="283">
        <f t="shared" si="37"/>
        <v>0</v>
      </c>
      <c r="R71" s="284">
        <f t="shared" si="38"/>
        <v>0</v>
      </c>
      <c r="S71" s="285"/>
      <c r="T71" s="282">
        <v>3541.51</v>
      </c>
      <c r="U71" s="282">
        <v>3250</v>
      </c>
      <c r="V71" s="284">
        <f t="shared" si="39"/>
        <v>8.9695384615384677E-2</v>
      </c>
      <c r="W71" s="286"/>
      <c r="X71" s="69" t="s">
        <v>126</v>
      </c>
    </row>
    <row r="72" spans="1:24" ht="14.5" customHeight="1">
      <c r="A72" s="47">
        <v>73</v>
      </c>
      <c r="C72" s="285" t="s">
        <v>36</v>
      </c>
      <c r="D72" s="295"/>
      <c r="E72" s="296"/>
      <c r="F72" s="297"/>
      <c r="G72" s="297"/>
      <c r="H72" s="297"/>
      <c r="I72" s="297"/>
      <c r="J72" s="297"/>
      <c r="K72" s="297"/>
      <c r="L72" s="297"/>
      <c r="M72" s="297"/>
      <c r="N72" s="285"/>
      <c r="O72" s="303">
        <v>13000</v>
      </c>
      <c r="P72" s="303">
        <v>13000</v>
      </c>
      <c r="Q72" s="283">
        <f t="shared" si="37"/>
        <v>0</v>
      </c>
      <c r="R72" s="284">
        <f t="shared" si="38"/>
        <v>0</v>
      </c>
      <c r="S72" s="285"/>
      <c r="T72" s="282">
        <v>17118.330000000002</v>
      </c>
      <c r="U72" s="282">
        <v>13000</v>
      </c>
      <c r="V72" s="284">
        <f t="shared" si="39"/>
        <v>0.31679461538461551</v>
      </c>
      <c r="W72" s="286" t="s">
        <v>309</v>
      </c>
      <c r="X72" s="69" t="s">
        <v>151</v>
      </c>
    </row>
    <row r="73" spans="1:24" ht="31.5" customHeight="1">
      <c r="A73" s="47">
        <v>74</v>
      </c>
      <c r="C73" s="285" t="s">
        <v>37</v>
      </c>
      <c r="D73" s="295"/>
      <c r="E73" s="296"/>
      <c r="F73" s="297"/>
      <c r="G73" s="297"/>
      <c r="H73" s="297"/>
      <c r="I73" s="297"/>
      <c r="J73" s="297"/>
      <c r="K73" s="297"/>
      <c r="L73" s="297"/>
      <c r="M73" s="297"/>
      <c r="N73" s="285"/>
      <c r="O73" s="303">
        <v>1000</v>
      </c>
      <c r="P73" s="282">
        <v>700</v>
      </c>
      <c r="Q73" s="283">
        <f t="shared" si="37"/>
        <v>300</v>
      </c>
      <c r="R73" s="284">
        <f t="shared" si="38"/>
        <v>0.42857142857142855</v>
      </c>
      <c r="S73" s="285"/>
      <c r="T73" s="282">
        <v>1285.72</v>
      </c>
      <c r="U73" s="282">
        <v>700</v>
      </c>
      <c r="V73" s="284">
        <f t="shared" si="39"/>
        <v>0.83674285714285723</v>
      </c>
      <c r="W73" s="286" t="s">
        <v>310</v>
      </c>
      <c r="X73" s="66"/>
    </row>
    <row r="74" spans="1:24" ht="44" thickBot="1">
      <c r="A74" s="47">
        <v>75</v>
      </c>
      <c r="C74" s="290" t="s">
        <v>38</v>
      </c>
      <c r="D74" s="298"/>
      <c r="E74" s="549" t="s">
        <v>186</v>
      </c>
      <c r="F74" s="550"/>
      <c r="G74" s="550"/>
      <c r="H74" s="550"/>
      <c r="I74" s="550"/>
      <c r="J74" s="550"/>
      <c r="K74" s="550"/>
      <c r="L74" s="550"/>
      <c r="M74" s="551"/>
      <c r="N74" s="290"/>
      <c r="O74" s="304">
        <v>1700</v>
      </c>
      <c r="P74" s="304">
        <v>1000</v>
      </c>
      <c r="Q74" s="288">
        <f t="shared" si="37"/>
        <v>700</v>
      </c>
      <c r="R74" s="289">
        <f t="shared" si="38"/>
        <v>0.7</v>
      </c>
      <c r="S74" s="290"/>
      <c r="T74" s="287">
        <v>1494.21</v>
      </c>
      <c r="U74" s="287">
        <v>1000</v>
      </c>
      <c r="V74" s="289">
        <f t="shared" si="39"/>
        <v>0.49421000000000004</v>
      </c>
      <c r="W74" s="291" t="s">
        <v>315</v>
      </c>
      <c r="X74" s="69" t="s">
        <v>141</v>
      </c>
    </row>
    <row r="75" spans="1:24" s="4" customFormat="1">
      <c r="A75" s="47">
        <v>76</v>
      </c>
      <c r="B75" s="22" t="s">
        <v>40</v>
      </c>
      <c r="C75" s="22"/>
      <c r="D75" s="39"/>
      <c r="E75" s="548">
        <f>Bud_Yr</f>
        <v>2019</v>
      </c>
      <c r="F75" s="524"/>
      <c r="G75" s="524"/>
      <c r="H75" s="524"/>
      <c r="I75" s="524">
        <f>Bud_Yr-1</f>
        <v>2018</v>
      </c>
      <c r="J75" s="524"/>
      <c r="K75" s="524"/>
      <c r="L75" s="524"/>
      <c r="M75" s="105">
        <f>Bud_Yr-2</f>
        <v>2017</v>
      </c>
      <c r="N75" s="39"/>
      <c r="O75" s="22">
        <f>SUM(O70:O74)</f>
        <v>22450</v>
      </c>
      <c r="P75" s="39">
        <f>SUM(P70:P74)</f>
        <v>20950</v>
      </c>
      <c r="Q75" s="39">
        <f>SUM(Q70:Q74)</f>
        <v>1500</v>
      </c>
      <c r="R75" s="23">
        <f t="shared" si="38"/>
        <v>7.1599045346062054E-2</v>
      </c>
      <c r="T75" s="39">
        <f>SUM(T70:T74)</f>
        <v>27217.22</v>
      </c>
      <c r="U75" s="39">
        <f>SUM(U70:U74)</f>
        <v>20950</v>
      </c>
      <c r="V75" s="23">
        <f t="shared" si="39"/>
        <v>0.29915131264916472</v>
      </c>
      <c r="W75" s="109"/>
      <c r="X75" s="68"/>
    </row>
    <row r="76" spans="1:24" ht="15" thickBot="1">
      <c r="A76" s="47">
        <v>77</v>
      </c>
      <c r="B76" s="22" t="s">
        <v>93</v>
      </c>
      <c r="C76" s="25"/>
      <c r="D76" s="25"/>
      <c r="E76" s="106" t="s">
        <v>184</v>
      </c>
      <c r="F76" s="107" t="s">
        <v>185</v>
      </c>
      <c r="G76" s="107" t="s">
        <v>188</v>
      </c>
      <c r="H76" s="107" t="s">
        <v>183</v>
      </c>
      <c r="I76" s="107" t="s">
        <v>184</v>
      </c>
      <c r="J76" s="107" t="s">
        <v>185</v>
      </c>
      <c r="K76" s="107" t="s">
        <v>188</v>
      </c>
      <c r="L76" s="107" t="s">
        <v>183</v>
      </c>
      <c r="M76" s="108" t="s">
        <v>185</v>
      </c>
      <c r="N76" s="25"/>
      <c r="O76" s="22">
        <f>+O41+O48+O50+O57+O67+O75+O55</f>
        <v>52525</v>
      </c>
      <c r="P76" s="39">
        <f>+P41+P48+P50+P57+P67+P75+P55</f>
        <v>51350</v>
      </c>
      <c r="Q76" s="39">
        <f>+Q41+Q48+Q50+Q57+Q67+Q75+Q55</f>
        <v>1175</v>
      </c>
      <c r="R76" s="23">
        <f t="shared" si="38"/>
        <v>2.2882181110029213E-2</v>
      </c>
      <c r="T76" s="39">
        <f>+T41+T48+T50+T57+T67+T75+T55</f>
        <v>52517.979999999996</v>
      </c>
      <c r="U76" s="39">
        <f>+U41+U48+U50+U57+U67+U75+U55</f>
        <v>51350</v>
      </c>
      <c r="V76" s="23">
        <f t="shared" si="39"/>
        <v>2.2745472249269639E-2</v>
      </c>
      <c r="W76" s="82"/>
      <c r="X76" s="66"/>
    </row>
    <row r="77" spans="1:24" ht="8.25" customHeight="1">
      <c r="A77" s="47">
        <v>78</v>
      </c>
      <c r="R77" s="7"/>
      <c r="W77" s="82"/>
      <c r="X77" s="66"/>
    </row>
    <row r="78" spans="1:24" ht="30" customHeight="1">
      <c r="A78" s="47">
        <v>79</v>
      </c>
      <c r="B78" s="9" t="s">
        <v>39</v>
      </c>
      <c r="F78" s="97">
        <v>0.02</v>
      </c>
      <c r="G78" s="552" t="s">
        <v>107</v>
      </c>
      <c r="H78" s="552"/>
      <c r="K78" s="88" t="s">
        <v>211</v>
      </c>
      <c r="L78" s="97">
        <v>1.4E-2</v>
      </c>
      <c r="N78" s="532" t="s">
        <v>103</v>
      </c>
      <c r="R78" s="7"/>
      <c r="W78" s="82"/>
      <c r="X78" s="66"/>
    </row>
    <row r="79" spans="1:24" ht="15" customHeight="1">
      <c r="A79" s="47">
        <v>80</v>
      </c>
      <c r="B79" s="4" t="s">
        <v>171</v>
      </c>
      <c r="D79" s="57" t="s">
        <v>305</v>
      </c>
      <c r="F79" s="97">
        <v>0.02</v>
      </c>
      <c r="G79" s="552" t="s">
        <v>108</v>
      </c>
      <c r="H79" s="552"/>
      <c r="K79" s="88"/>
      <c r="N79" s="532"/>
      <c r="Q79" s="135"/>
      <c r="R79" s="7"/>
      <c r="T79" s="136"/>
      <c r="U79" s="37"/>
      <c r="W79" s="69" t="s">
        <v>244</v>
      </c>
      <c r="X79" s="65"/>
    </row>
    <row r="80" spans="1:24" ht="14.5" customHeight="1">
      <c r="A80" s="47">
        <v>81</v>
      </c>
      <c r="C80" s="280" t="s">
        <v>213</v>
      </c>
      <c r="D80" s="292"/>
      <c r="E80" s="293"/>
      <c r="F80" s="306"/>
      <c r="G80" s="467" t="s">
        <v>400</v>
      </c>
      <c r="H80" s="307"/>
      <c r="I80" s="308"/>
      <c r="J80" s="293"/>
      <c r="K80" s="308"/>
      <c r="L80" s="309"/>
      <c r="M80" s="310"/>
      <c r="N80" s="292"/>
      <c r="O80" s="311">
        <f>+'Pastor Detail'!G17</f>
        <v>72737</v>
      </c>
      <c r="P80" s="311">
        <f>+'Pastor Detail'!D11</f>
        <v>65896.916666666672</v>
      </c>
      <c r="Q80" s="278">
        <f t="shared" ref="Q80:Q89" si="40">+O80-P80</f>
        <v>6840.0833333333285</v>
      </c>
      <c r="R80" s="279">
        <f t="shared" ref="R80:R90" si="41">IF(P80=0,"NA",(+O80-P80)/P80)</f>
        <v>0.10379974783847996</v>
      </c>
      <c r="S80" s="280"/>
      <c r="T80" s="277">
        <f>44813.66+21083.41</f>
        <v>65897.070000000007</v>
      </c>
      <c r="U80" s="277">
        <f>44813.66+21083.41</f>
        <v>65897.070000000007</v>
      </c>
      <c r="V80" s="279">
        <f t="shared" ref="V80:V90" si="42">IF(U80=0,"NA",(+T80-U80)/U80)</f>
        <v>0</v>
      </c>
      <c r="W80" s="281"/>
      <c r="X80" s="69" t="s">
        <v>142</v>
      </c>
    </row>
    <row r="81" spans="1:24">
      <c r="A81" s="47">
        <v>82</v>
      </c>
      <c r="C81" s="285" t="s">
        <v>41</v>
      </c>
      <c r="D81" s="295"/>
      <c r="E81" s="296"/>
      <c r="F81" s="312" t="s">
        <v>401</v>
      </c>
      <c r="G81" s="313">
        <f>+('Pastor Detail'!G11+O107+O138+O145)-('Pastor Detail'!G6+P107+P138+P145)</f>
        <v>2178</v>
      </c>
      <c r="H81" s="314" t="s">
        <v>312</v>
      </c>
      <c r="I81" s="315"/>
      <c r="J81" s="296"/>
      <c r="K81" s="316"/>
      <c r="L81" s="296"/>
      <c r="M81" s="317"/>
      <c r="N81" s="318"/>
      <c r="O81" s="319">
        <f>+'Pastor Detail'!G54</f>
        <v>1500</v>
      </c>
      <c r="P81" s="303">
        <v>1500</v>
      </c>
      <c r="Q81" s="283">
        <f t="shared" si="40"/>
        <v>0</v>
      </c>
      <c r="R81" s="284">
        <f t="shared" si="41"/>
        <v>0</v>
      </c>
      <c r="S81" s="285"/>
      <c r="T81" s="282">
        <v>465.11</v>
      </c>
      <c r="U81" s="282">
        <v>1500</v>
      </c>
      <c r="V81" s="284">
        <f t="shared" si="42"/>
        <v>-0.68992666666666658</v>
      </c>
      <c r="W81" s="286" t="s">
        <v>201</v>
      </c>
      <c r="X81" s="69"/>
    </row>
    <row r="82" spans="1:24" ht="14.5" customHeight="1">
      <c r="C82" s="285" t="s">
        <v>111</v>
      </c>
      <c r="D82" s="295"/>
      <c r="E82" s="296"/>
      <c r="F82" s="312" t="s">
        <v>402</v>
      </c>
      <c r="G82" s="313">
        <f>(+O122+O128+O129+O131)-(P122+P128+P129+P131)</f>
        <v>548</v>
      </c>
      <c r="H82" s="296"/>
      <c r="I82" s="296"/>
      <c r="J82" s="314"/>
      <c r="K82" s="296"/>
      <c r="L82" s="296"/>
      <c r="M82" s="296"/>
      <c r="N82" s="318"/>
      <c r="O82" s="319">
        <f>+'Pastor Detail'!G21</f>
        <v>5564.3805000000002</v>
      </c>
      <c r="P82" s="303">
        <v>0</v>
      </c>
      <c r="Q82" s="283">
        <f t="shared" si="40"/>
        <v>5564.3805000000002</v>
      </c>
      <c r="R82" s="284" t="str">
        <f t="shared" ref="R82:R84" si="43">IF(P82=0,"NA",(+O82-P82)/P82)</f>
        <v>NA</v>
      </c>
      <c r="S82" s="285"/>
      <c r="T82" s="282">
        <v>5041.1400000000003</v>
      </c>
      <c r="U82" s="282">
        <v>0</v>
      </c>
      <c r="V82" s="284" t="str">
        <f t="shared" ref="V82:V84" si="44">IF(U82=0,"NA",(+T82-U82)/U82)</f>
        <v>NA</v>
      </c>
      <c r="W82" s="286" t="s">
        <v>303</v>
      </c>
      <c r="X82" s="69"/>
    </row>
    <row r="83" spans="1:24" ht="43.5">
      <c r="C83" s="523" t="s">
        <v>210</v>
      </c>
      <c r="D83" s="523"/>
      <c r="E83" s="320"/>
      <c r="F83" s="321" t="s">
        <v>297</v>
      </c>
      <c r="G83" s="322">
        <f>+G81+G82</f>
        <v>2726</v>
      </c>
      <c r="H83" s="323"/>
      <c r="I83" s="319"/>
      <c r="J83" s="324"/>
      <c r="K83" s="296"/>
      <c r="L83" s="518"/>
      <c r="M83" s="518"/>
      <c r="N83" s="518"/>
      <c r="O83" s="303">
        <v>0</v>
      </c>
      <c r="P83" s="319">
        <f>+'Pastor Detail'!D38</f>
        <v>8015</v>
      </c>
      <c r="Q83" s="283">
        <f t="shared" ref="Q83" si="45">+O83-P83</f>
        <v>-8015</v>
      </c>
      <c r="R83" s="284">
        <f t="shared" ref="R83" si="46">IF(P83=0,"NA",(+O83-P83)/P83)</f>
        <v>-1</v>
      </c>
      <c r="S83" s="285"/>
      <c r="T83" s="282">
        <v>0</v>
      </c>
      <c r="U83" s="282">
        <v>8015.04</v>
      </c>
      <c r="V83" s="284">
        <f t="shared" ref="V83" si="47">IF(U83=0,"NA",(+T83-U83)/U83)</f>
        <v>-1</v>
      </c>
      <c r="W83" s="286" t="s">
        <v>276</v>
      </c>
      <c r="X83" s="69"/>
    </row>
    <row r="84" spans="1:24" ht="14" customHeight="1">
      <c r="C84" s="285" t="s">
        <v>203</v>
      </c>
      <c r="D84" s="295"/>
      <c r="E84" s="296"/>
      <c r="F84" s="324"/>
      <c r="G84" s="296"/>
      <c r="H84" s="325"/>
      <c r="I84" s="296"/>
      <c r="J84" s="296"/>
      <c r="K84" s="296"/>
      <c r="L84" s="296"/>
      <c r="M84" s="296"/>
      <c r="N84" s="326"/>
      <c r="O84" s="319">
        <f>+'Pastor Detail'!G39</f>
        <v>16110</v>
      </c>
      <c r="P84" s="319">
        <f>+'Pastor Detail'!D37</f>
        <v>8752.2796120833355</v>
      </c>
      <c r="Q84" s="283">
        <f t="shared" ref="Q84" si="48">+O84-P84</f>
        <v>7357.7203879166645</v>
      </c>
      <c r="R84" s="284">
        <f t="shared" si="43"/>
        <v>0.84066331447622489</v>
      </c>
      <c r="S84" s="285"/>
      <c r="T84" s="282">
        <v>13901.17</v>
      </c>
      <c r="U84" s="303">
        <v>8751.9599999999991</v>
      </c>
      <c r="V84" s="284">
        <f t="shared" si="44"/>
        <v>0.58834935260216015</v>
      </c>
      <c r="W84" s="286" t="s">
        <v>294</v>
      </c>
      <c r="X84" s="73" t="s">
        <v>161</v>
      </c>
    </row>
    <row r="85" spans="1:24" ht="14.4" customHeight="1">
      <c r="C85" s="285" t="s">
        <v>205</v>
      </c>
      <c r="D85" s="295"/>
      <c r="E85" s="296"/>
      <c r="F85" s="296"/>
      <c r="G85" s="296"/>
      <c r="H85" s="327"/>
      <c r="I85" s="296"/>
      <c r="J85" s="296"/>
      <c r="K85" s="296"/>
      <c r="L85" s="296"/>
      <c r="M85" s="296"/>
      <c r="N85" s="328"/>
      <c r="O85" s="319">
        <v>0</v>
      </c>
      <c r="P85" s="303">
        <v>0</v>
      </c>
      <c r="Q85" s="283">
        <f t="shared" ref="Q85" si="49">+O85-P85</f>
        <v>0</v>
      </c>
      <c r="R85" s="284" t="str">
        <f t="shared" ref="R85" si="50">IF(P85=0,"NA",(+O85-P85)/P85)</f>
        <v>NA</v>
      </c>
      <c r="S85" s="285"/>
      <c r="T85" s="282">
        <v>0</v>
      </c>
      <c r="U85" s="303">
        <v>0</v>
      </c>
      <c r="V85" s="284" t="str">
        <f t="shared" ref="V85" si="51">IF(U85=0,"NA",(+T85-U85)/U85)</f>
        <v>NA</v>
      </c>
      <c r="W85" s="329" t="s">
        <v>209</v>
      </c>
      <c r="X85" s="73" t="s">
        <v>161</v>
      </c>
    </row>
    <row r="86" spans="1:24" ht="14.4" customHeight="1">
      <c r="A86" s="47">
        <v>83</v>
      </c>
      <c r="C86" s="285" t="s">
        <v>204</v>
      </c>
      <c r="D86" s="295"/>
      <c r="E86" s="317"/>
      <c r="F86" s="327"/>
      <c r="G86" s="317"/>
      <c r="H86" s="327"/>
      <c r="I86" s="317"/>
      <c r="J86" s="327"/>
      <c r="K86" s="330"/>
      <c r="L86" s="296"/>
      <c r="M86" s="296"/>
      <c r="N86" s="326"/>
      <c r="O86" s="319">
        <f>+'Pastor Detail'!G51</f>
        <v>2662</v>
      </c>
      <c r="P86" s="319">
        <f>+'Pastor Detail'!D51</f>
        <v>3183.6471316666675</v>
      </c>
      <c r="Q86" s="283">
        <f t="shared" si="40"/>
        <v>-521.64713166666752</v>
      </c>
      <c r="R86" s="284">
        <f t="shared" si="41"/>
        <v>-0.16385205711965339</v>
      </c>
      <c r="S86" s="285"/>
      <c r="T86" s="282">
        <v>2732.33</v>
      </c>
      <c r="U86" s="303">
        <v>3184</v>
      </c>
      <c r="V86" s="284">
        <f t="shared" si="42"/>
        <v>-0.14185615577889449</v>
      </c>
      <c r="W86" s="329" t="s">
        <v>212</v>
      </c>
      <c r="X86" s="73" t="s">
        <v>161</v>
      </c>
    </row>
    <row r="87" spans="1:24">
      <c r="C87" s="285" t="s">
        <v>113</v>
      </c>
      <c r="D87" s="295"/>
      <c r="E87" s="296"/>
      <c r="F87" s="296"/>
      <c r="G87" s="296"/>
      <c r="H87" s="296"/>
      <c r="I87" s="296"/>
      <c r="J87" s="296"/>
      <c r="K87" s="296"/>
      <c r="L87" s="296"/>
      <c r="M87" s="296"/>
      <c r="N87" s="326"/>
      <c r="O87" s="319">
        <f>+'Pastor Detail'!G56</f>
        <v>600</v>
      </c>
      <c r="P87" s="303">
        <f>+(600)</f>
        <v>600</v>
      </c>
      <c r="Q87" s="283">
        <f t="shared" si="40"/>
        <v>0</v>
      </c>
      <c r="R87" s="284">
        <f t="shared" ref="R87" si="52">IF(P87=0,"NA",(+O87-P87)/P87)</f>
        <v>0</v>
      </c>
      <c r="S87" s="285"/>
      <c r="T87" s="282">
        <v>212.4</v>
      </c>
      <c r="U87" s="282">
        <v>600</v>
      </c>
      <c r="V87" s="284">
        <f t="shared" ref="V87" si="53">IF(U87=0,"NA",(+T87-U87)/U87)</f>
        <v>-0.64600000000000002</v>
      </c>
      <c r="W87" s="286" t="s">
        <v>202</v>
      </c>
      <c r="X87" s="69"/>
    </row>
    <row r="88" spans="1:24">
      <c r="C88" s="285" t="s">
        <v>290</v>
      </c>
      <c r="D88" s="295"/>
      <c r="E88" s="296"/>
      <c r="F88" s="297"/>
      <c r="G88" s="297"/>
      <c r="H88" s="297"/>
      <c r="I88" s="297"/>
      <c r="J88" s="297"/>
      <c r="K88" s="297"/>
      <c r="L88" s="297"/>
      <c r="M88" s="297"/>
      <c r="N88" s="331"/>
      <c r="O88" s="319">
        <f>+'Pastor Detail'!G57</f>
        <v>480</v>
      </c>
      <c r="P88" s="303">
        <v>0</v>
      </c>
      <c r="Q88" s="283">
        <f t="shared" ref="Q88" si="54">+O88-P88</f>
        <v>480</v>
      </c>
      <c r="R88" s="284" t="str">
        <f t="shared" ref="R88" si="55">IF(P88=0,"NA",(+O88-P88)/P88)</f>
        <v>NA</v>
      </c>
      <c r="S88" s="285"/>
      <c r="T88" s="282">
        <v>0</v>
      </c>
      <c r="U88" s="282">
        <v>0</v>
      </c>
      <c r="V88" s="284" t="str">
        <f t="shared" ref="V88" si="56">IF(U88=0,"NA",(+T88-U88)/U88)</f>
        <v>NA</v>
      </c>
      <c r="W88" s="286" t="s">
        <v>306</v>
      </c>
      <c r="X88" s="69"/>
    </row>
    <row r="89" spans="1:24" ht="29">
      <c r="A89" s="47">
        <v>85</v>
      </c>
      <c r="C89" s="290" t="s">
        <v>44</v>
      </c>
      <c r="D89" s="298"/>
      <c r="E89" s="299"/>
      <c r="F89" s="300"/>
      <c r="G89" s="300"/>
      <c r="H89" s="300"/>
      <c r="I89" s="300"/>
      <c r="J89" s="300"/>
      <c r="K89" s="300"/>
      <c r="L89" s="300"/>
      <c r="M89" s="300"/>
      <c r="N89" s="332"/>
      <c r="O89" s="333">
        <f>+'Pastor Detail'!G55</f>
        <v>1000</v>
      </c>
      <c r="P89" s="304">
        <v>1000</v>
      </c>
      <c r="Q89" s="288">
        <f t="shared" si="40"/>
        <v>0</v>
      </c>
      <c r="R89" s="289">
        <f t="shared" si="41"/>
        <v>0</v>
      </c>
      <c r="S89" s="290"/>
      <c r="T89" s="287">
        <v>1000</v>
      </c>
      <c r="U89" s="287">
        <v>1000</v>
      </c>
      <c r="V89" s="289">
        <f t="shared" si="42"/>
        <v>0</v>
      </c>
      <c r="W89" s="291" t="s">
        <v>293</v>
      </c>
      <c r="X89" s="69"/>
    </row>
    <row r="90" spans="1:24" s="4" customFormat="1">
      <c r="A90" s="47">
        <v>86</v>
      </c>
      <c r="B90" s="26" t="s">
        <v>172</v>
      </c>
      <c r="C90" s="26"/>
      <c r="D90" s="26"/>
      <c r="E90" s="98"/>
      <c r="F90" s="98"/>
      <c r="G90" s="98"/>
      <c r="H90" s="98"/>
      <c r="I90" s="98"/>
      <c r="J90" s="98"/>
      <c r="K90" s="98"/>
      <c r="L90" s="98"/>
      <c r="M90" s="98"/>
      <c r="N90" s="26"/>
      <c r="O90" s="26">
        <f>SUM(O80:O89)</f>
        <v>100653.3805</v>
      </c>
      <c r="P90" s="26">
        <f>SUM(P80:P89)</f>
        <v>88947.843410416681</v>
      </c>
      <c r="Q90" s="26">
        <f>SUM(Q80:Q89)</f>
        <v>11705.537089583326</v>
      </c>
      <c r="R90" s="27">
        <f t="shared" si="41"/>
        <v>0.13160001008200367</v>
      </c>
      <c r="T90" s="26">
        <f>SUM(T80:T89)</f>
        <v>89249.22</v>
      </c>
      <c r="U90" s="26">
        <f>SUM(U80:U89)</f>
        <v>88948.07</v>
      </c>
      <c r="V90" s="27">
        <f t="shared" si="42"/>
        <v>3.3856833543436543E-3</v>
      </c>
      <c r="W90" s="84"/>
      <c r="X90" s="68"/>
    </row>
    <row r="91" spans="1:24" ht="6.75" customHeight="1">
      <c r="A91" s="47">
        <v>87</v>
      </c>
      <c r="R91" s="7"/>
      <c r="W91" s="82"/>
      <c r="X91" s="66"/>
    </row>
    <row r="92" spans="1:24">
      <c r="A92" s="47">
        <v>88</v>
      </c>
      <c r="B92" s="4" t="s">
        <v>236</v>
      </c>
      <c r="O92" s="42"/>
      <c r="R92" s="7"/>
      <c r="W92" s="82"/>
      <c r="X92" s="66"/>
    </row>
    <row r="93" spans="1:24">
      <c r="A93" s="47">
        <v>89</v>
      </c>
      <c r="C93" s="280" t="s">
        <v>45</v>
      </c>
      <c r="D93" s="292"/>
      <c r="E93" s="293"/>
      <c r="F93" s="294"/>
      <c r="G93" s="294"/>
      <c r="H93" s="334"/>
      <c r="I93" s="335"/>
      <c r="J93" s="335"/>
      <c r="K93" s="334"/>
      <c r="L93" s="334"/>
      <c r="M93" s="335"/>
      <c r="N93" s="280"/>
      <c r="O93" s="305">
        <v>45000</v>
      </c>
      <c r="P93" s="277">
        <v>0</v>
      </c>
      <c r="Q93" s="278">
        <f t="shared" ref="Q93:Q98" si="57">+O93-P93</f>
        <v>45000</v>
      </c>
      <c r="R93" s="279" t="str">
        <f t="shared" ref="R93:R99" si="58">IF(P93=0,"NA",(+O93-P93)/P93)</f>
        <v>NA</v>
      </c>
      <c r="S93" s="280"/>
      <c r="T93" s="277">
        <v>0</v>
      </c>
      <c r="U93" s="277">
        <v>0</v>
      </c>
      <c r="V93" s="279" t="str">
        <f t="shared" ref="V93:V99" si="59">IF(U93=0,"NA",(+T93-U93)/U93)</f>
        <v>NA</v>
      </c>
      <c r="W93" s="281"/>
      <c r="X93" s="65" t="s">
        <v>143</v>
      </c>
    </row>
    <row r="94" spans="1:24">
      <c r="C94" s="285" t="s">
        <v>44</v>
      </c>
      <c r="D94" s="295"/>
      <c r="E94" s="296"/>
      <c r="F94" s="297"/>
      <c r="G94" s="297"/>
      <c r="H94" s="336"/>
      <c r="I94" s="336"/>
      <c r="J94" s="336"/>
      <c r="K94" s="336"/>
      <c r="L94" s="336"/>
      <c r="M94" s="336"/>
      <c r="N94" s="285"/>
      <c r="O94" s="303">
        <v>750</v>
      </c>
      <c r="P94" s="282">
        <v>0</v>
      </c>
      <c r="Q94" s="283">
        <f t="shared" ref="Q94:Q96" si="60">+O94-P94</f>
        <v>750</v>
      </c>
      <c r="R94" s="284" t="str">
        <f t="shared" ref="R94:R96" si="61">IF(P94=0,"NA",(+O94-P94)/P94)</f>
        <v>NA</v>
      </c>
      <c r="S94" s="285"/>
      <c r="T94" s="282">
        <v>0</v>
      </c>
      <c r="U94" s="282">
        <v>0</v>
      </c>
      <c r="V94" s="284" t="str">
        <f t="shared" si="59"/>
        <v>NA</v>
      </c>
      <c r="W94" s="286"/>
      <c r="X94" s="65"/>
    </row>
    <row r="95" spans="1:24">
      <c r="C95" s="285" t="s">
        <v>46</v>
      </c>
      <c r="D95" s="295"/>
      <c r="E95" s="296"/>
      <c r="F95" s="297"/>
      <c r="G95" s="297"/>
      <c r="H95" s="336"/>
      <c r="I95" s="336"/>
      <c r="J95" s="336"/>
      <c r="K95" s="336"/>
      <c r="L95" s="336"/>
      <c r="M95" s="336"/>
      <c r="N95" s="285"/>
      <c r="O95" s="303">
        <v>1500</v>
      </c>
      <c r="P95" s="282">
        <v>0</v>
      </c>
      <c r="Q95" s="283">
        <f t="shared" si="60"/>
        <v>1500</v>
      </c>
      <c r="R95" s="284" t="str">
        <f t="shared" si="61"/>
        <v>NA</v>
      </c>
      <c r="S95" s="285"/>
      <c r="T95" s="282">
        <v>0</v>
      </c>
      <c r="U95" s="282">
        <v>0</v>
      </c>
      <c r="V95" s="284" t="str">
        <f t="shared" si="59"/>
        <v>NA</v>
      </c>
      <c r="W95" s="286"/>
      <c r="X95" s="65"/>
    </row>
    <row r="96" spans="1:24">
      <c r="C96" s="285" t="s">
        <v>290</v>
      </c>
      <c r="D96" s="295"/>
      <c r="E96" s="296"/>
      <c r="F96" s="297"/>
      <c r="G96" s="297"/>
      <c r="H96" s="297"/>
      <c r="I96" s="297"/>
      <c r="J96" s="297"/>
      <c r="K96" s="297"/>
      <c r="L96" s="297"/>
      <c r="M96" s="297"/>
      <c r="N96" s="331"/>
      <c r="O96" s="303">
        <f>40*12</f>
        <v>480</v>
      </c>
      <c r="P96" s="303">
        <v>0</v>
      </c>
      <c r="Q96" s="283">
        <f t="shared" si="60"/>
        <v>480</v>
      </c>
      <c r="R96" s="284" t="str">
        <f t="shared" si="61"/>
        <v>NA</v>
      </c>
      <c r="S96" s="285"/>
      <c r="T96" s="282">
        <v>0</v>
      </c>
      <c r="U96" s="282">
        <v>0</v>
      </c>
      <c r="V96" s="284" t="str">
        <f t="shared" si="59"/>
        <v>NA</v>
      </c>
      <c r="W96" s="286" t="s">
        <v>306</v>
      </c>
      <c r="X96" s="69"/>
    </row>
    <row r="97" spans="1:24">
      <c r="C97" s="285" t="s">
        <v>113</v>
      </c>
      <c r="D97" s="295"/>
      <c r="E97" s="296"/>
      <c r="F97" s="297"/>
      <c r="G97" s="297"/>
      <c r="H97" s="336"/>
      <c r="I97" s="336"/>
      <c r="J97" s="336"/>
      <c r="K97" s="336"/>
      <c r="L97" s="336"/>
      <c r="M97" s="336"/>
      <c r="N97" s="285"/>
      <c r="O97" s="303">
        <v>350</v>
      </c>
      <c r="P97" s="282">
        <v>0</v>
      </c>
      <c r="Q97" s="283">
        <f t="shared" ref="Q97" si="62">+O97-P97</f>
        <v>350</v>
      </c>
      <c r="R97" s="284" t="str">
        <f t="shared" ref="R97" si="63">IF(P97=0,"NA",(+O97-P97)/P97)</f>
        <v>NA</v>
      </c>
      <c r="S97" s="285"/>
      <c r="T97" s="282">
        <v>0</v>
      </c>
      <c r="U97" s="282">
        <v>0</v>
      </c>
      <c r="V97" s="284" t="str">
        <f t="shared" si="59"/>
        <v>NA</v>
      </c>
      <c r="W97" s="286"/>
      <c r="X97" s="65"/>
    </row>
    <row r="98" spans="1:24">
      <c r="A98" s="47">
        <v>90</v>
      </c>
      <c r="C98" s="290" t="s">
        <v>301</v>
      </c>
      <c r="D98" s="298"/>
      <c r="E98" s="299"/>
      <c r="F98" s="300"/>
      <c r="G98" s="300"/>
      <c r="H98" s="300"/>
      <c r="I98" s="300"/>
      <c r="J98" s="300"/>
      <c r="K98" s="300"/>
      <c r="L98" s="300"/>
      <c r="M98" s="300"/>
      <c r="N98" s="290"/>
      <c r="O98" s="304">
        <f>500+500+1000</f>
        <v>2000</v>
      </c>
      <c r="P98" s="287">
        <v>0</v>
      </c>
      <c r="Q98" s="288">
        <f t="shared" si="57"/>
        <v>2000</v>
      </c>
      <c r="R98" s="289" t="str">
        <f t="shared" si="58"/>
        <v>NA</v>
      </c>
      <c r="S98" s="290"/>
      <c r="T98" s="287">
        <v>0</v>
      </c>
      <c r="U98" s="287">
        <v>0</v>
      </c>
      <c r="V98" s="289" t="str">
        <f t="shared" si="59"/>
        <v>NA</v>
      </c>
      <c r="W98" s="291" t="s">
        <v>302</v>
      </c>
      <c r="X98" s="66"/>
    </row>
    <row r="99" spans="1:24" s="4" customFormat="1">
      <c r="A99" s="47">
        <v>91</v>
      </c>
      <c r="B99" s="26" t="s">
        <v>237</v>
      </c>
      <c r="C99" s="26"/>
      <c r="D99" s="26"/>
      <c r="E99" s="98"/>
      <c r="F99" s="98"/>
      <c r="G99" s="98"/>
      <c r="H99" s="98"/>
      <c r="I99" s="98"/>
      <c r="J99" s="98"/>
      <c r="K99" s="98"/>
      <c r="L99" s="98"/>
      <c r="M99" s="98"/>
      <c r="N99" s="26"/>
      <c r="O99" s="26">
        <f>SUM(O93:O98)</f>
        <v>50080</v>
      </c>
      <c r="P99" s="26">
        <f>SUM(P93:P98)</f>
        <v>0</v>
      </c>
      <c r="Q99" s="26">
        <f>SUM(Q93:Q98)</f>
        <v>50080</v>
      </c>
      <c r="R99" s="27" t="str">
        <f t="shared" si="58"/>
        <v>NA</v>
      </c>
      <c r="T99" s="26">
        <f>SUM(T93:T98)</f>
        <v>0</v>
      </c>
      <c r="U99" s="26">
        <f>SUM(U93:U98)</f>
        <v>0</v>
      </c>
      <c r="V99" s="27" t="str">
        <f t="shared" si="59"/>
        <v>NA</v>
      </c>
      <c r="W99" s="84"/>
      <c r="X99" s="68"/>
    </row>
    <row r="100" spans="1:24" ht="4.5" customHeight="1">
      <c r="A100" s="47">
        <v>92</v>
      </c>
      <c r="R100" s="7"/>
      <c r="W100" s="82"/>
      <c r="X100" s="66"/>
    </row>
    <row r="101" spans="1:24">
      <c r="A101" s="47">
        <v>88</v>
      </c>
      <c r="B101" s="4" t="s">
        <v>220</v>
      </c>
      <c r="R101" s="42"/>
      <c r="V101" s="42"/>
      <c r="W101" s="82"/>
      <c r="X101" s="66"/>
    </row>
    <row r="102" spans="1:24" ht="14.4" customHeight="1">
      <c r="A102" s="47">
        <v>89</v>
      </c>
      <c r="C102" s="280" t="s">
        <v>45</v>
      </c>
      <c r="D102" s="292"/>
      <c r="E102" s="293"/>
      <c r="F102" s="294"/>
      <c r="G102" s="294"/>
      <c r="H102" s="335">
        <f>ROUND(+$P102*(1+$F$78),0)</f>
        <v>2040</v>
      </c>
      <c r="I102" s="335"/>
      <c r="J102" s="335"/>
      <c r="K102" s="335"/>
      <c r="L102" s="335"/>
      <c r="M102" s="335"/>
      <c r="N102" s="280"/>
      <c r="O102" s="305">
        <f>200*10</f>
        <v>2000</v>
      </c>
      <c r="P102" s="305">
        <f>200*10</f>
        <v>2000</v>
      </c>
      <c r="Q102" s="278">
        <f t="shared" ref="Q102:Q103" si="64">+O102-P102</f>
        <v>0</v>
      </c>
      <c r="R102" s="279">
        <f t="shared" ref="R102:R104" si="65">IF(P102=0,"NA",(+O102-P102)/P102)</f>
        <v>0</v>
      </c>
      <c r="S102" s="280"/>
      <c r="T102" s="277">
        <v>200</v>
      </c>
      <c r="U102" s="277">
        <v>2000</v>
      </c>
      <c r="V102" s="279">
        <f>IF(U102=0,"NA",(+T102-U102)/U102)</f>
        <v>-0.9</v>
      </c>
      <c r="W102" s="281" t="s">
        <v>189</v>
      </c>
      <c r="X102" s="65" t="s">
        <v>152</v>
      </c>
    </row>
    <row r="103" spans="1:24">
      <c r="A103" s="47">
        <v>90</v>
      </c>
      <c r="C103" s="290" t="s">
        <v>46</v>
      </c>
      <c r="D103" s="298"/>
      <c r="E103" s="299"/>
      <c r="F103" s="300"/>
      <c r="G103" s="300"/>
      <c r="H103" s="300"/>
      <c r="I103" s="300"/>
      <c r="J103" s="300"/>
      <c r="K103" s="300"/>
      <c r="L103" s="300"/>
      <c r="M103" s="300"/>
      <c r="N103" s="290"/>
      <c r="O103" s="287">
        <v>0</v>
      </c>
      <c r="P103" s="287">
        <v>0</v>
      </c>
      <c r="Q103" s="288">
        <f t="shared" si="64"/>
        <v>0</v>
      </c>
      <c r="R103" s="289" t="str">
        <f t="shared" si="65"/>
        <v>NA</v>
      </c>
      <c r="S103" s="290"/>
      <c r="T103" s="287">
        <v>13.08</v>
      </c>
      <c r="U103" s="287">
        <v>0</v>
      </c>
      <c r="V103" s="289" t="str">
        <f>IF(U103=0,"NA",(+T103-U103)/U103)</f>
        <v>NA</v>
      </c>
      <c r="W103" s="302"/>
      <c r="X103" s="66"/>
    </row>
    <row r="104" spans="1:24" s="4" customFormat="1">
      <c r="A104" s="47">
        <v>91</v>
      </c>
      <c r="B104" s="26" t="s">
        <v>221</v>
      </c>
      <c r="C104" s="26"/>
      <c r="D104" s="26"/>
      <c r="E104" s="98"/>
      <c r="F104" s="98"/>
      <c r="G104" s="98"/>
      <c r="H104" s="98"/>
      <c r="I104" s="98"/>
      <c r="J104" s="98"/>
      <c r="K104" s="98"/>
      <c r="L104" s="98"/>
      <c r="M104" s="98"/>
      <c r="N104" s="26"/>
      <c r="O104" s="26">
        <f>SUM(O102:O103)</f>
        <v>2000</v>
      </c>
      <c r="P104" s="26">
        <f>SUM(P102:P103)</f>
        <v>2000</v>
      </c>
      <c r="Q104" s="26">
        <f>SUM(Q102:Q103)</f>
        <v>0</v>
      </c>
      <c r="R104" s="27">
        <f t="shared" si="65"/>
        <v>0</v>
      </c>
      <c r="T104" s="26">
        <f>SUM(T102:T103)</f>
        <v>213.08</v>
      </c>
      <c r="U104" s="26">
        <f>SUM(U102:U103)</f>
        <v>2000</v>
      </c>
      <c r="V104" s="27">
        <f>IF(U104=0,"NA",(+T104-U104)/U104)</f>
        <v>-0.89346000000000003</v>
      </c>
      <c r="W104" s="84"/>
      <c r="X104" s="68"/>
    </row>
    <row r="105" spans="1:24" ht="4.5" customHeight="1">
      <c r="R105" s="42"/>
      <c r="V105" s="42"/>
      <c r="W105" s="82"/>
      <c r="X105" s="66"/>
    </row>
    <row r="106" spans="1:24">
      <c r="A106" s="47">
        <v>93</v>
      </c>
      <c r="B106" s="4" t="s">
        <v>192</v>
      </c>
      <c r="R106" s="7"/>
      <c r="W106" s="82"/>
      <c r="X106" s="66"/>
    </row>
    <row r="107" spans="1:24" ht="14.4" customHeight="1">
      <c r="A107" s="47">
        <v>94</v>
      </c>
      <c r="C107" s="280" t="s">
        <v>45</v>
      </c>
      <c r="D107" s="292"/>
      <c r="E107" s="293"/>
      <c r="F107" s="337"/>
      <c r="G107" s="337"/>
      <c r="H107" s="335">
        <f>ROUND(+$P107*(1+$F$78),0)</f>
        <v>20808</v>
      </c>
      <c r="I107" s="335"/>
      <c r="J107" s="335"/>
      <c r="K107" s="335"/>
      <c r="L107" s="335"/>
      <c r="M107" s="335"/>
      <c r="N107" s="280"/>
      <c r="O107" s="311">
        <f>ROUND(+P107*(1+F$78),0)</f>
        <v>20808</v>
      </c>
      <c r="P107" s="277">
        <v>20400</v>
      </c>
      <c r="Q107" s="278">
        <f t="shared" ref="Q107:Q108" si="66">+O107-P107</f>
        <v>408</v>
      </c>
      <c r="R107" s="279">
        <f t="shared" ref="R107:R109" si="67">IF(P107=0,"NA",(+O107-P107)/P107)</f>
        <v>0.02</v>
      </c>
      <c r="S107" s="280"/>
      <c r="T107" s="277">
        <v>20400</v>
      </c>
      <c r="U107" s="277">
        <v>20400</v>
      </c>
      <c r="V107" s="279">
        <f>IF(U107=0,"NA",(+T107-U107)/U107)</f>
        <v>0</v>
      </c>
      <c r="W107" s="281" t="s">
        <v>178</v>
      </c>
      <c r="X107" s="65" t="s">
        <v>128</v>
      </c>
    </row>
    <row r="108" spans="1:24" ht="44.5" customHeight="1">
      <c r="A108" s="47">
        <v>95</v>
      </c>
      <c r="C108" s="290" t="s">
        <v>47</v>
      </c>
      <c r="D108" s="298"/>
      <c r="E108" s="338">
        <v>2</v>
      </c>
      <c r="F108" s="339">
        <f>ROUND(+J108*(1+H108),2)</f>
        <v>10</v>
      </c>
      <c r="G108" s="338">
        <v>40</v>
      </c>
      <c r="H108" s="340">
        <v>0</v>
      </c>
      <c r="I108" s="338">
        <v>4</v>
      </c>
      <c r="J108" s="341">
        <v>10</v>
      </c>
      <c r="K108" s="338">
        <v>40</v>
      </c>
      <c r="L108" s="289">
        <f>IF(M108=0,0,(+J108-M108)/M108)</f>
        <v>0</v>
      </c>
      <c r="M108" s="342">
        <v>0</v>
      </c>
      <c r="N108" s="290"/>
      <c r="O108" s="333">
        <f>ROUND(F108*E108*G108,0)</f>
        <v>800</v>
      </c>
      <c r="P108" s="304">
        <v>800</v>
      </c>
      <c r="Q108" s="288">
        <f t="shared" si="66"/>
        <v>0</v>
      </c>
      <c r="R108" s="289">
        <f t="shared" si="67"/>
        <v>0</v>
      </c>
      <c r="S108" s="290"/>
      <c r="T108" s="304">
        <v>221.75</v>
      </c>
      <c r="U108" s="287">
        <v>800</v>
      </c>
      <c r="V108" s="289">
        <f>IF(U108=0,"NA",(+T108-U108)/U108)</f>
        <v>-0.72281249999999997</v>
      </c>
      <c r="W108" s="374" t="str">
        <f>"Matt Nelson (not taking) and Alyssa Both at:  "&amp;Bud_Yr&amp;":  avg "&amp;E108&amp;" hrs/week at $"&amp;F108&amp;"/hr ("&amp;ROUND(H108*100,1)&amp;"% incr.) for "&amp;G108&amp;" weeks (Sept-May, excluding Lent).  "&amp;Bud_Yr-1&amp;":  avg "&amp;I108&amp;" hrs/week at $"&amp;J108&amp;"/hr ("&amp;ROUND(L108*100,1)&amp;"% incr.) for "&amp;K108&amp;" weeks.   "</f>
        <v xml:space="preserve">Matt Nelson (not taking) and Alyssa Both at:  2019:  avg 2 hrs/week at $10/hr (0% incr.) for 40 weeks (Sept-May, excluding Lent).  2018:  avg 4 hrs/week at $10/hr (0% incr.) for 40 weeks.   </v>
      </c>
      <c r="X108" s="1" t="s">
        <v>129</v>
      </c>
    </row>
    <row r="109" spans="1:24" s="4" customFormat="1">
      <c r="A109" s="47">
        <v>96</v>
      </c>
      <c r="B109" s="26" t="s">
        <v>48</v>
      </c>
      <c r="C109" s="26"/>
      <c r="D109" s="26"/>
      <c r="E109" s="98"/>
      <c r="F109" s="98"/>
      <c r="G109" s="98"/>
      <c r="H109" s="98"/>
      <c r="I109" s="98"/>
      <c r="J109" s="98"/>
      <c r="K109" s="98"/>
      <c r="L109" s="98"/>
      <c r="M109" s="98"/>
      <c r="N109" s="26"/>
      <c r="O109" s="26">
        <f>SUM(O107:O108)</f>
        <v>21608</v>
      </c>
      <c r="P109" s="26">
        <f>SUM(P107:P108)</f>
        <v>21200</v>
      </c>
      <c r="Q109" s="26">
        <f>SUM(Q107:Q108)</f>
        <v>408</v>
      </c>
      <c r="R109" s="27">
        <f t="shared" si="67"/>
        <v>1.9245283018867923E-2</v>
      </c>
      <c r="T109" s="26">
        <f>SUM(T107:T108)</f>
        <v>20621.75</v>
      </c>
      <c r="U109" s="26">
        <f>SUM(U107:U108)</f>
        <v>21200</v>
      </c>
      <c r="V109" s="27">
        <f>IF(U109=0,"NA",(+T109-U109)/U109)</f>
        <v>-2.7275943396226417E-2</v>
      </c>
      <c r="W109" s="84"/>
      <c r="X109" s="68"/>
    </row>
    <row r="110" spans="1:24" ht="6" customHeight="1" thickBot="1">
      <c r="A110" s="47">
        <v>97</v>
      </c>
      <c r="R110" s="7"/>
      <c r="W110" s="82"/>
      <c r="X110" s="66"/>
    </row>
    <row r="111" spans="1:24">
      <c r="A111" s="47">
        <v>98</v>
      </c>
      <c r="B111" s="4" t="s">
        <v>122</v>
      </c>
      <c r="C111" s="280"/>
      <c r="D111" s="292"/>
      <c r="E111" s="525">
        <v>2017</v>
      </c>
      <c r="F111" s="526"/>
      <c r="G111" s="526"/>
      <c r="H111" s="527"/>
      <c r="I111" s="519" t="str">
        <f>"2017 = 1/2 Lead and 1/2 Deacon2018 75% Deacon plus increase 2.0%, "&amp;F78*100&amp;"% Lead"</f>
        <v>2017 = 1/2 Lead and 1/2 Deacon2018 75% Deacon plus increase 2.0%, 2% Lead</v>
      </c>
      <c r="J111" s="520"/>
      <c r="K111" s="520"/>
      <c r="L111" s="520"/>
      <c r="M111" s="520"/>
      <c r="N111" s="520"/>
      <c r="O111" s="280"/>
      <c r="P111" s="280"/>
      <c r="Q111" s="280"/>
      <c r="R111" s="294"/>
      <c r="S111" s="280"/>
      <c r="T111" s="280"/>
      <c r="U111" s="280"/>
      <c r="V111" s="294"/>
      <c r="W111" s="343"/>
      <c r="X111" s="66"/>
    </row>
    <row r="112" spans="1:24" ht="14.5" customHeight="1">
      <c r="A112" s="47">
        <v>99</v>
      </c>
      <c r="C112" s="285" t="s">
        <v>45</v>
      </c>
      <c r="D112" s="295"/>
      <c r="E112" s="344">
        <f>86349</f>
        <v>86349</v>
      </c>
      <c r="F112" s="345" t="s">
        <v>193</v>
      </c>
      <c r="G112" s="303">
        <v>38239</v>
      </c>
      <c r="H112" s="346" t="s">
        <v>122</v>
      </c>
      <c r="I112" s="521"/>
      <c r="J112" s="522"/>
      <c r="K112" s="522"/>
      <c r="L112" s="522"/>
      <c r="M112" s="522"/>
      <c r="N112" s="522"/>
      <c r="O112" s="303">
        <v>0</v>
      </c>
      <c r="P112" s="303">
        <v>40976</v>
      </c>
      <c r="Q112" s="283">
        <f t="shared" ref="Q112:Q118" si="68">+O112-P112</f>
        <v>-40976</v>
      </c>
      <c r="R112" s="284">
        <f t="shared" ref="R112:R119" si="69">IF(P112=0,"NA",(+O112-P112)/P112)</f>
        <v>-1</v>
      </c>
      <c r="S112" s="285"/>
      <c r="T112" s="282">
        <v>22045.23</v>
      </c>
      <c r="U112" s="282">
        <v>40976</v>
      </c>
      <c r="V112" s="284">
        <f t="shared" ref="V112:V119" si="70">IF(U112=0,"NA",(+T112-U112)/U112)</f>
        <v>-0.46199653455681378</v>
      </c>
      <c r="W112" s="286" t="s">
        <v>224</v>
      </c>
      <c r="X112" s="65" t="s">
        <v>153</v>
      </c>
    </row>
    <row r="113" spans="1:24" ht="29">
      <c r="A113" s="47">
        <v>100</v>
      </c>
      <c r="C113" s="285" t="s">
        <v>42</v>
      </c>
      <c r="D113" s="295"/>
      <c r="E113" s="296"/>
      <c r="F113" s="347">
        <v>0.11</v>
      </c>
      <c r="G113" s="297">
        <v>2017</v>
      </c>
      <c r="H113" s="347">
        <v>0.12</v>
      </c>
      <c r="I113" s="297">
        <v>2018</v>
      </c>
      <c r="J113" s="297"/>
      <c r="K113" s="297"/>
      <c r="L113" s="297"/>
      <c r="M113" s="297"/>
      <c r="N113" s="285"/>
      <c r="O113" s="303">
        <v>0</v>
      </c>
      <c r="P113" s="303">
        <v>6556</v>
      </c>
      <c r="Q113" s="283">
        <f t="shared" si="68"/>
        <v>-6556</v>
      </c>
      <c r="R113" s="284">
        <f t="shared" si="69"/>
        <v>-1</v>
      </c>
      <c r="S113" s="285"/>
      <c r="T113" s="282">
        <v>2831.06</v>
      </c>
      <c r="U113" s="282">
        <v>6556</v>
      </c>
      <c r="V113" s="284">
        <f t="shared" si="70"/>
        <v>-0.56817266625991458</v>
      </c>
      <c r="W113" s="329" t="s">
        <v>215</v>
      </c>
      <c r="X113" s="73"/>
    </row>
    <row r="114" spans="1:24">
      <c r="A114" s="47">
        <v>101</v>
      </c>
      <c r="C114" s="285" t="s">
        <v>44</v>
      </c>
      <c r="D114" s="295"/>
      <c r="E114" s="296"/>
      <c r="F114" s="297"/>
      <c r="G114" s="297"/>
      <c r="H114" s="297"/>
      <c r="I114" s="297"/>
      <c r="J114" s="297"/>
      <c r="K114" s="297"/>
      <c r="L114" s="297"/>
      <c r="M114" s="297"/>
      <c r="N114" s="285"/>
      <c r="O114" s="282">
        <v>0</v>
      </c>
      <c r="P114" s="282">
        <v>750</v>
      </c>
      <c r="Q114" s="283">
        <f t="shared" si="68"/>
        <v>-750</v>
      </c>
      <c r="R114" s="284">
        <f t="shared" si="69"/>
        <v>-1</v>
      </c>
      <c r="S114" s="285"/>
      <c r="T114" s="282">
        <v>182.8</v>
      </c>
      <c r="U114" s="282">
        <v>750</v>
      </c>
      <c r="V114" s="284">
        <f t="shared" si="70"/>
        <v>-0.75626666666666675</v>
      </c>
      <c r="W114" s="286"/>
      <c r="X114" s="65"/>
    </row>
    <row r="115" spans="1:24" ht="14.4" customHeight="1">
      <c r="A115" s="47">
        <v>102</v>
      </c>
      <c r="C115" s="285" t="s">
        <v>43</v>
      </c>
      <c r="D115" s="295"/>
      <c r="E115" s="296"/>
      <c r="F115" s="297"/>
      <c r="G115" s="297"/>
      <c r="H115" s="297"/>
      <c r="I115" s="297"/>
      <c r="J115" s="297"/>
      <c r="K115" s="297"/>
      <c r="L115" s="297"/>
      <c r="M115" s="297"/>
      <c r="N115" s="285"/>
      <c r="O115" s="303">
        <v>0</v>
      </c>
      <c r="P115" s="303">
        <v>3300</v>
      </c>
      <c r="Q115" s="283">
        <f t="shared" si="68"/>
        <v>-3300</v>
      </c>
      <c r="R115" s="284">
        <f t="shared" si="69"/>
        <v>-1</v>
      </c>
      <c r="S115" s="285"/>
      <c r="T115" s="282">
        <v>2176.13</v>
      </c>
      <c r="U115" s="282">
        <v>3300</v>
      </c>
      <c r="V115" s="284">
        <f t="shared" si="70"/>
        <v>-0.34056666666666663</v>
      </c>
      <c r="W115" s="286" t="s">
        <v>197</v>
      </c>
      <c r="X115" s="69" t="s">
        <v>144</v>
      </c>
    </row>
    <row r="116" spans="1:24">
      <c r="A116" s="47">
        <v>103</v>
      </c>
      <c r="C116" s="285" t="s">
        <v>46</v>
      </c>
      <c r="D116" s="295"/>
      <c r="E116" s="296"/>
      <c r="F116" s="297"/>
      <c r="G116" s="297"/>
      <c r="H116" s="297"/>
      <c r="I116" s="297"/>
      <c r="J116" s="297"/>
      <c r="K116" s="297"/>
      <c r="L116" s="297"/>
      <c r="M116" s="297"/>
      <c r="N116" s="285"/>
      <c r="O116" s="282">
        <v>0</v>
      </c>
      <c r="P116" s="282">
        <v>1500</v>
      </c>
      <c r="Q116" s="283">
        <f t="shared" si="68"/>
        <v>-1500</v>
      </c>
      <c r="R116" s="284">
        <f t="shared" si="69"/>
        <v>-1</v>
      </c>
      <c r="S116" s="285"/>
      <c r="T116" s="282">
        <v>293.25</v>
      </c>
      <c r="U116" s="282">
        <v>1500</v>
      </c>
      <c r="V116" s="284">
        <f t="shared" si="70"/>
        <v>-0.80449999999999999</v>
      </c>
      <c r="W116" s="286" t="s">
        <v>196</v>
      </c>
      <c r="X116" s="65"/>
    </row>
    <row r="117" spans="1:24">
      <c r="C117" s="285" t="s">
        <v>113</v>
      </c>
      <c r="D117" s="295"/>
      <c r="E117" s="296"/>
      <c r="F117" s="297"/>
      <c r="G117" s="297"/>
      <c r="H117" s="297"/>
      <c r="I117" s="297"/>
      <c r="J117" s="297"/>
      <c r="K117" s="297"/>
      <c r="L117" s="297"/>
      <c r="M117" s="297"/>
      <c r="N117" s="285"/>
      <c r="O117" s="282">
        <v>0</v>
      </c>
      <c r="P117" s="282">
        <v>350</v>
      </c>
      <c r="Q117" s="283">
        <f t="shared" ref="Q117" si="71">+O117-P117</f>
        <v>-350</v>
      </c>
      <c r="R117" s="284">
        <f t="shared" ref="R117" si="72">IF(P117=0,"NA",(+O117-P117)/P117)</f>
        <v>-1</v>
      </c>
      <c r="S117" s="285"/>
      <c r="T117" s="282">
        <v>75.7</v>
      </c>
      <c r="U117" s="282">
        <v>350</v>
      </c>
      <c r="V117" s="284">
        <f t="shared" ref="V117" si="73">IF(U117=0,"NA",(+T117-U117)/U117)</f>
        <v>-0.7837142857142857</v>
      </c>
      <c r="W117" s="286" t="s">
        <v>196</v>
      </c>
      <c r="X117" s="65"/>
    </row>
    <row r="118" spans="1:24">
      <c r="A118" s="47">
        <v>104</v>
      </c>
      <c r="C118" s="290" t="s">
        <v>49</v>
      </c>
      <c r="D118" s="298"/>
      <c r="E118" s="299"/>
      <c r="F118" s="300"/>
      <c r="G118" s="300"/>
      <c r="H118" s="300"/>
      <c r="I118" s="300"/>
      <c r="J118" s="300"/>
      <c r="K118" s="300"/>
      <c r="L118" s="300"/>
      <c r="M118" s="300"/>
      <c r="N118" s="290"/>
      <c r="O118" s="287">
        <v>0</v>
      </c>
      <c r="P118" s="287">
        <v>0</v>
      </c>
      <c r="Q118" s="288">
        <f t="shared" si="68"/>
        <v>0</v>
      </c>
      <c r="R118" s="289" t="str">
        <f t="shared" si="69"/>
        <v>NA</v>
      </c>
      <c r="S118" s="290"/>
      <c r="T118" s="287">
        <v>0</v>
      </c>
      <c r="U118" s="287">
        <v>0</v>
      </c>
      <c r="V118" s="289" t="str">
        <f t="shared" si="70"/>
        <v>NA</v>
      </c>
      <c r="W118" s="348"/>
      <c r="X118" s="77" t="s">
        <v>145</v>
      </c>
    </row>
    <row r="119" spans="1:24" s="4" customFormat="1">
      <c r="A119" s="47">
        <v>105</v>
      </c>
      <c r="B119" s="26" t="s">
        <v>170</v>
      </c>
      <c r="C119" s="26"/>
      <c r="D119" s="26"/>
      <c r="E119" s="98"/>
      <c r="F119" s="98"/>
      <c r="G119" s="98"/>
      <c r="H119" s="98"/>
      <c r="I119" s="98"/>
      <c r="J119" s="98"/>
      <c r="K119" s="98"/>
      <c r="L119" s="98"/>
      <c r="M119" s="98"/>
      <c r="N119" s="26"/>
      <c r="O119" s="26">
        <f>SUM(O112:O118)</f>
        <v>0</v>
      </c>
      <c r="P119" s="26">
        <f>SUM(P112:P118)</f>
        <v>53432</v>
      </c>
      <c r="Q119" s="26">
        <f>SUM(Q112:Q118)</f>
        <v>-53432</v>
      </c>
      <c r="R119" s="27">
        <f t="shared" si="69"/>
        <v>-1</v>
      </c>
      <c r="T119" s="26">
        <f>SUM(T112:T118)</f>
        <v>27604.170000000002</v>
      </c>
      <c r="U119" s="26">
        <f>SUM(U112:U118)</f>
        <v>53432</v>
      </c>
      <c r="V119" s="27">
        <f t="shared" si="70"/>
        <v>-0.48337756400658777</v>
      </c>
      <c r="W119" s="84"/>
      <c r="X119" s="68"/>
    </row>
    <row r="120" spans="1:24" ht="6" customHeight="1">
      <c r="A120" s="47">
        <v>106</v>
      </c>
      <c r="R120" s="7"/>
      <c r="W120" s="82"/>
      <c r="X120" s="66"/>
    </row>
    <row r="121" spans="1:24">
      <c r="A121" s="47">
        <v>107</v>
      </c>
      <c r="B121" s="4" t="s">
        <v>50</v>
      </c>
      <c r="R121" s="7"/>
      <c r="W121" s="82"/>
      <c r="X121" s="66"/>
    </row>
    <row r="122" spans="1:24">
      <c r="A122" s="47">
        <v>108</v>
      </c>
      <c r="C122" s="280" t="s">
        <v>115</v>
      </c>
      <c r="D122" s="292"/>
      <c r="E122" s="293"/>
      <c r="F122" s="294"/>
      <c r="G122" s="294"/>
      <c r="H122" s="294"/>
      <c r="I122" s="294"/>
      <c r="J122" s="294"/>
      <c r="K122" s="294"/>
      <c r="L122" s="294"/>
      <c r="M122" s="294"/>
      <c r="N122" s="349"/>
      <c r="O122" s="311">
        <f>ROUND(+P122*(1+$F$79),0)</f>
        <v>15918</v>
      </c>
      <c r="P122" s="277">
        <v>15606</v>
      </c>
      <c r="Q122" s="278">
        <f t="shared" ref="Q122:Q131" si="74">+O122-P122</f>
        <v>312</v>
      </c>
      <c r="R122" s="279">
        <f t="shared" ref="R122:R132" si="75">IF(P122=0,"NA",(+O122-P122)/P122)</f>
        <v>1.9992310649750097E-2</v>
      </c>
      <c r="S122" s="280"/>
      <c r="T122" s="277">
        <v>15606</v>
      </c>
      <c r="U122" s="277">
        <v>15606</v>
      </c>
      <c r="V122" s="279">
        <f t="shared" ref="V122:V132" si="76">IF(U122=0,"NA",(+T122-U122)/U122)</f>
        <v>0</v>
      </c>
      <c r="W122" s="281" t="s">
        <v>179</v>
      </c>
      <c r="X122" s="65" t="s">
        <v>163</v>
      </c>
    </row>
    <row r="123" spans="1:24">
      <c r="C123" s="280" t="s">
        <v>318</v>
      </c>
      <c r="D123" s="292"/>
      <c r="E123" s="293"/>
      <c r="F123" s="294"/>
      <c r="G123" s="294"/>
      <c r="H123" s="294"/>
      <c r="I123" s="294"/>
      <c r="J123" s="294"/>
      <c r="K123" s="294"/>
      <c r="L123" s="294"/>
      <c r="M123" s="294"/>
      <c r="N123" s="349"/>
      <c r="O123" s="311">
        <f>+'Band Estimate'!C22</f>
        <v>3000</v>
      </c>
      <c r="P123" s="277">
        <v>0</v>
      </c>
      <c r="Q123" s="278">
        <f t="shared" ref="Q123" si="77">+O123-P123</f>
        <v>3000</v>
      </c>
      <c r="R123" s="279" t="str">
        <f t="shared" ref="R123" si="78">IF(P123=0,"NA",(+O123-P123)/P123)</f>
        <v>NA</v>
      </c>
      <c r="S123" s="280"/>
      <c r="T123" s="277">
        <v>0</v>
      </c>
      <c r="U123" s="277">
        <v>0</v>
      </c>
      <c r="V123" s="279" t="str">
        <f t="shared" ref="V123" si="79">IF(U123=0,"NA",(+T123-U123)/U123)</f>
        <v>NA</v>
      </c>
      <c r="W123" s="281" t="s">
        <v>389</v>
      </c>
      <c r="X123" s="65" t="s">
        <v>163</v>
      </c>
    </row>
    <row r="124" spans="1:24">
      <c r="A124" s="47">
        <v>109</v>
      </c>
      <c r="C124" s="285" t="s">
        <v>51</v>
      </c>
      <c r="D124" s="295"/>
      <c r="E124" s="296"/>
      <c r="F124" s="297"/>
      <c r="G124" s="297"/>
      <c r="H124" s="297"/>
      <c r="I124" s="297"/>
      <c r="J124" s="297"/>
      <c r="K124" s="297"/>
      <c r="L124" s="297"/>
      <c r="M124" s="297"/>
      <c r="N124" s="350"/>
      <c r="O124" s="282">
        <v>500</v>
      </c>
      <c r="P124" s="282">
        <v>500</v>
      </c>
      <c r="Q124" s="283">
        <f t="shared" si="74"/>
        <v>0</v>
      </c>
      <c r="R124" s="284">
        <f t="shared" si="75"/>
        <v>0</v>
      </c>
      <c r="S124" s="285"/>
      <c r="T124" s="282">
        <v>100</v>
      </c>
      <c r="U124" s="282">
        <v>500</v>
      </c>
      <c r="V124" s="284">
        <f t="shared" si="76"/>
        <v>-0.8</v>
      </c>
      <c r="W124" s="351"/>
      <c r="X124" s="65" t="s">
        <v>166</v>
      </c>
    </row>
    <row r="125" spans="1:24" ht="28.5" customHeight="1">
      <c r="A125" s="47">
        <v>110</v>
      </c>
      <c r="C125" s="285" t="s">
        <v>52</v>
      </c>
      <c r="D125" s="295"/>
      <c r="E125" s="296"/>
      <c r="F125" s="297"/>
      <c r="G125" s="297"/>
      <c r="H125" s="297"/>
      <c r="I125" s="297"/>
      <c r="J125" s="297"/>
      <c r="K125" s="297"/>
      <c r="L125" s="297"/>
      <c r="M125" s="297"/>
      <c r="N125" s="350"/>
      <c r="O125" s="319">
        <f>+'Band Estimate'!C39</f>
        <v>13290</v>
      </c>
      <c r="P125" s="282">
        <v>15318</v>
      </c>
      <c r="Q125" s="283">
        <f t="shared" si="74"/>
        <v>-2028</v>
      </c>
      <c r="R125" s="284">
        <f t="shared" si="75"/>
        <v>-0.13239326282804545</v>
      </c>
      <c r="S125" s="285"/>
      <c r="T125" s="282">
        <v>16298.22</v>
      </c>
      <c r="U125" s="282">
        <v>15318.45</v>
      </c>
      <c r="V125" s="284">
        <f t="shared" si="76"/>
        <v>6.3960126514105445E-2</v>
      </c>
      <c r="W125" s="286" t="str">
        <f>"2019:  Paid per Performance and Practise times.  2018:  Increase for Music of "&amp;F79*100&amp;"% at 75% of year for not playing in the summer"</f>
        <v>2019:  Paid per Performance and Practise times.  2018:  Increase for Music of 2% at 75% of year for not playing in the summer</v>
      </c>
      <c r="X125" s="65" t="s">
        <v>165</v>
      </c>
    </row>
    <row r="126" spans="1:24" ht="29">
      <c r="A126" s="47">
        <v>110</v>
      </c>
      <c r="C126" s="523" t="s">
        <v>403</v>
      </c>
      <c r="D126" s="523"/>
      <c r="E126" s="296"/>
      <c r="F126" s="297"/>
      <c r="G126" s="297"/>
      <c r="H126" s="297"/>
      <c r="I126" s="297"/>
      <c r="J126" s="297"/>
      <c r="K126" s="297"/>
      <c r="L126" s="297"/>
      <c r="M126" s="297"/>
      <c r="N126" s="350"/>
      <c r="O126" s="319">
        <f>+'Band Estimate'!C64</f>
        <v>3000</v>
      </c>
      <c r="P126" s="282">
        <v>5106</v>
      </c>
      <c r="Q126" s="283">
        <f t="shared" ref="Q126:Q127" si="80">+O126-P126</f>
        <v>-2106</v>
      </c>
      <c r="R126" s="284">
        <f t="shared" ref="R126:R127" si="81">IF(P126=0,"NA",(+O126-P126)/P126)</f>
        <v>-0.41245593419506466</v>
      </c>
      <c r="S126" s="285"/>
      <c r="T126" s="282">
        <v>2600</v>
      </c>
      <c r="U126" s="282">
        <v>5106</v>
      </c>
      <c r="V126" s="284">
        <f t="shared" ref="V126:V127" si="82">IF(U126=0,"NA",(+T126-U126)/U126)</f>
        <v>-0.49079514296905602</v>
      </c>
      <c r="W126" s="286" t="s">
        <v>398</v>
      </c>
      <c r="X126" s="65" t="s">
        <v>165</v>
      </c>
    </row>
    <row r="127" spans="1:24">
      <c r="C127" s="285" t="s">
        <v>395</v>
      </c>
      <c r="D127" s="295"/>
      <c r="E127" s="296"/>
      <c r="F127" s="297"/>
      <c r="G127" s="297"/>
      <c r="H127" s="297"/>
      <c r="I127" s="297"/>
      <c r="J127" s="297"/>
      <c r="K127" s="297"/>
      <c r="L127" s="297"/>
      <c r="M127" s="297"/>
      <c r="N127" s="350"/>
      <c r="O127" s="319">
        <f>+'Band Estimate'!C52</f>
        <v>3350</v>
      </c>
      <c r="P127" s="282">
        <v>0</v>
      </c>
      <c r="Q127" s="283">
        <f t="shared" si="80"/>
        <v>3350</v>
      </c>
      <c r="R127" s="284" t="str">
        <f t="shared" si="81"/>
        <v>NA</v>
      </c>
      <c r="S127" s="285"/>
      <c r="T127" s="282">
        <v>0</v>
      </c>
      <c r="U127" s="282">
        <v>0</v>
      </c>
      <c r="V127" s="284" t="str">
        <f t="shared" si="82"/>
        <v>NA</v>
      </c>
      <c r="W127" s="351" t="s">
        <v>396</v>
      </c>
      <c r="X127" s="65"/>
    </row>
    <row r="128" spans="1:24">
      <c r="A128" s="47">
        <v>111</v>
      </c>
      <c r="C128" s="285" t="s">
        <v>53</v>
      </c>
      <c r="D128" s="295"/>
      <c r="E128" s="296"/>
      <c r="F128" s="297"/>
      <c r="G128" s="297"/>
      <c r="H128" s="297"/>
      <c r="I128" s="297"/>
      <c r="J128" s="297"/>
      <c r="K128" s="297"/>
      <c r="L128" s="297"/>
      <c r="M128" s="297"/>
      <c r="N128" s="350"/>
      <c r="O128" s="319">
        <f>ROUND(+P128*(1+$F$79),0)</f>
        <v>7484</v>
      </c>
      <c r="P128" s="282">
        <v>7337</v>
      </c>
      <c r="Q128" s="283">
        <f t="shared" si="74"/>
        <v>147</v>
      </c>
      <c r="R128" s="284">
        <f t="shared" si="75"/>
        <v>2.0035436827041026E-2</v>
      </c>
      <c r="S128" s="285"/>
      <c r="T128" s="282">
        <v>7001.35</v>
      </c>
      <c r="U128" s="282">
        <v>7337</v>
      </c>
      <c r="V128" s="284">
        <f t="shared" si="76"/>
        <v>-4.5747580755076955E-2</v>
      </c>
      <c r="W128" s="286" t="s">
        <v>180</v>
      </c>
      <c r="X128" s="65" t="s">
        <v>164</v>
      </c>
    </row>
    <row r="129" spans="1:26">
      <c r="A129" s="47">
        <v>112</v>
      </c>
      <c r="C129" s="285" t="s">
        <v>54</v>
      </c>
      <c r="D129" s="295"/>
      <c r="E129" s="296"/>
      <c r="F129" s="297"/>
      <c r="G129" s="297"/>
      <c r="H129" s="336">
        <f>ROUND(+$P129*(1+$F$79),0)</f>
        <v>1785</v>
      </c>
      <c r="I129" s="336"/>
      <c r="J129" s="336"/>
      <c r="K129" s="336"/>
      <c r="L129" s="336"/>
      <c r="M129" s="336"/>
      <c r="N129" s="285"/>
      <c r="O129" s="319">
        <f>ROUND(+P129*(1+$F$79),0)</f>
        <v>1785</v>
      </c>
      <c r="P129" s="282">
        <v>1750</v>
      </c>
      <c r="Q129" s="283">
        <f t="shared" si="74"/>
        <v>35</v>
      </c>
      <c r="R129" s="284">
        <f t="shared" si="75"/>
        <v>0.02</v>
      </c>
      <c r="S129" s="285"/>
      <c r="T129" s="282">
        <v>1604.13</v>
      </c>
      <c r="U129" s="282">
        <v>1750</v>
      </c>
      <c r="V129" s="284">
        <f t="shared" si="76"/>
        <v>-8.3354285714285659E-2</v>
      </c>
      <c r="W129" s="286" t="s">
        <v>181</v>
      </c>
      <c r="X129" s="65" t="s">
        <v>166</v>
      </c>
    </row>
    <row r="130" spans="1:26">
      <c r="C130" s="285" t="s">
        <v>112</v>
      </c>
      <c r="D130" s="295"/>
      <c r="E130" s="530" t="s">
        <v>186</v>
      </c>
      <c r="F130" s="531"/>
      <c r="G130" s="531"/>
      <c r="H130" s="531"/>
      <c r="I130" s="531"/>
      <c r="J130" s="531"/>
      <c r="K130" s="531"/>
      <c r="L130" s="531"/>
      <c r="M130" s="531"/>
      <c r="N130" s="531"/>
      <c r="O130" s="303">
        <v>0</v>
      </c>
      <c r="P130" s="282">
        <v>1200</v>
      </c>
      <c r="Q130" s="283">
        <f t="shared" si="74"/>
        <v>-1200</v>
      </c>
      <c r="R130" s="284">
        <f t="shared" ref="R130" si="83">IF(P130=0,"NA",(+O130-P130)/P130)</f>
        <v>-1</v>
      </c>
      <c r="S130" s="285"/>
      <c r="T130" s="303">
        <v>900</v>
      </c>
      <c r="U130" s="282">
        <v>1200</v>
      </c>
      <c r="V130" s="284">
        <f t="shared" ref="V130" si="84">IF(U130=0,"NA",(+T130-U130)/U130)</f>
        <v>-0.25</v>
      </c>
      <c r="W130" s="286" t="s">
        <v>390</v>
      </c>
      <c r="X130" s="78" t="s">
        <v>162</v>
      </c>
    </row>
    <row r="131" spans="1:26">
      <c r="A131" s="47">
        <v>113</v>
      </c>
      <c r="C131" s="290" t="s">
        <v>116</v>
      </c>
      <c r="D131" s="298"/>
      <c r="E131" s="528">
        <f>Bud_Yr</f>
        <v>2019</v>
      </c>
      <c r="F131" s="529"/>
      <c r="G131" s="529"/>
      <c r="H131" s="529"/>
      <c r="I131" s="529">
        <f>Bud_Yr-1</f>
        <v>2018</v>
      </c>
      <c r="J131" s="529"/>
      <c r="K131" s="529"/>
      <c r="L131" s="529"/>
      <c r="M131" s="352">
        <f>Bud_Yr-2</f>
        <v>2017</v>
      </c>
      <c r="N131" s="352">
        <v>2016</v>
      </c>
      <c r="O131" s="333">
        <f>ROUND(+P131*(1+$F$79),0)</f>
        <v>2759</v>
      </c>
      <c r="P131" s="287">
        <v>2705</v>
      </c>
      <c r="Q131" s="288">
        <f t="shared" si="74"/>
        <v>54</v>
      </c>
      <c r="R131" s="289">
        <f t="shared" si="75"/>
        <v>1.9963031423290204E-2</v>
      </c>
      <c r="S131" s="290"/>
      <c r="T131" s="287">
        <v>3350</v>
      </c>
      <c r="U131" s="287">
        <v>2705</v>
      </c>
      <c r="V131" s="289">
        <f t="shared" si="76"/>
        <v>0.23844731977818853</v>
      </c>
      <c r="W131" s="291" t="s">
        <v>214</v>
      </c>
      <c r="X131" s="65" t="s">
        <v>166</v>
      </c>
    </row>
    <row r="132" spans="1:26" s="4" customFormat="1" ht="15" thickBot="1">
      <c r="A132" s="47">
        <v>114</v>
      </c>
      <c r="B132" s="26" t="s">
        <v>55</v>
      </c>
      <c r="C132" s="26"/>
      <c r="D132" s="26"/>
      <c r="E132" s="106" t="s">
        <v>184</v>
      </c>
      <c r="F132" s="107" t="s">
        <v>185</v>
      </c>
      <c r="G132" s="107" t="s">
        <v>188</v>
      </c>
      <c r="H132" s="107" t="s">
        <v>183</v>
      </c>
      <c r="I132" s="107" t="s">
        <v>184</v>
      </c>
      <c r="J132" s="107" t="s">
        <v>185</v>
      </c>
      <c r="K132" s="107" t="s">
        <v>188</v>
      </c>
      <c r="L132" s="107" t="s">
        <v>183</v>
      </c>
      <c r="M132" s="108" t="s">
        <v>185</v>
      </c>
      <c r="N132" s="108" t="s">
        <v>185</v>
      </c>
      <c r="O132" s="26">
        <f>SUM(O122:O131)</f>
        <v>51086</v>
      </c>
      <c r="P132" s="26">
        <f>SUM(P122:P131)</f>
        <v>49522</v>
      </c>
      <c r="Q132" s="26">
        <f>SUM(Q122:Q131)</f>
        <v>1564</v>
      </c>
      <c r="R132" s="27">
        <f t="shared" si="75"/>
        <v>3.1581923185654857E-2</v>
      </c>
      <c r="T132" s="26">
        <f>SUM(T122:T131)</f>
        <v>47459.7</v>
      </c>
      <c r="U132" s="26">
        <f>SUM(U122:U131)</f>
        <v>49522.45</v>
      </c>
      <c r="V132" s="27">
        <f t="shared" si="76"/>
        <v>-4.1652826142486894E-2</v>
      </c>
      <c r="W132" s="84"/>
      <c r="X132" s="68"/>
    </row>
    <row r="133" spans="1:26" ht="6.75" customHeight="1">
      <c r="A133" s="47">
        <v>115</v>
      </c>
      <c r="R133" s="7"/>
      <c r="W133" s="82"/>
      <c r="X133" s="66"/>
    </row>
    <row r="134" spans="1:26" ht="14.25" customHeight="1">
      <c r="A134" s="47">
        <v>116</v>
      </c>
      <c r="B134" s="4" t="s">
        <v>56</v>
      </c>
      <c r="N134" s="28"/>
      <c r="O134" s="28"/>
      <c r="P134" s="28"/>
      <c r="Q134" s="28"/>
      <c r="R134" s="7"/>
      <c r="W134" s="82"/>
      <c r="X134" s="66"/>
      <c r="Y134" s="42"/>
    </row>
    <row r="135" spans="1:26" ht="27.5" customHeight="1">
      <c r="A135" s="47">
        <v>117</v>
      </c>
      <c r="C135" s="280" t="s">
        <v>101</v>
      </c>
      <c r="D135" s="292"/>
      <c r="E135" s="353"/>
      <c r="F135" s="375">
        <v>52</v>
      </c>
      <c r="G135" s="353"/>
      <c r="H135" s="354">
        <f>+$F$78</f>
        <v>0.02</v>
      </c>
      <c r="I135" s="353">
        <v>17</v>
      </c>
      <c r="J135" s="355">
        <v>15.08</v>
      </c>
      <c r="K135" s="353">
        <v>52</v>
      </c>
      <c r="L135" s="279">
        <f>IF(M135=0,0,(+J135-M135)/M135)</f>
        <v>2.0297699594046058E-2</v>
      </c>
      <c r="M135" s="356">
        <v>14.78</v>
      </c>
      <c r="N135" s="356">
        <v>14.42</v>
      </c>
      <c r="O135" s="311">
        <f>ROUND(E135*F135*G135,0)</f>
        <v>0</v>
      </c>
      <c r="P135" s="311">
        <f>ROUND(I135*J135*K135,0)</f>
        <v>13331</v>
      </c>
      <c r="Q135" s="278">
        <f t="shared" ref="Q135:Q148" si="85">+O135-P135</f>
        <v>-13331</v>
      </c>
      <c r="R135" s="279">
        <f t="shared" ref="R135:R150" si="86">IF(P135=0,"NA",(+O135-P135)/P135)</f>
        <v>-1</v>
      </c>
      <c r="S135" s="280"/>
      <c r="T135" s="277">
        <v>5958.55</v>
      </c>
      <c r="U135" s="277">
        <v>13331</v>
      </c>
      <c r="V135" s="279">
        <v>46.81</v>
      </c>
      <c r="W135" s="281" t="str">
        <f>"Kim Saunders:  "&amp;Bud_Yr&amp;":  avg "&amp;E135&amp;" hrs/week at $"&amp;F135&amp;"/hr ("&amp;ROUND(H135*100,1)&amp;"% incr.) for "&amp;G135&amp;" weeks.                                         "&amp;Bud_Yr-1&amp;":  avg "&amp;I135&amp;" hrs/week at $"&amp;J135&amp;"/hr ("&amp;ROUND(L135*100,1)&amp;"% incr.) for "&amp;K135&amp;" weeks.   "&amp;Bud_Yr-2&amp;":  $"&amp;M135&amp;"/hr."</f>
        <v>Kim Saunders:  2019:  avg  hrs/week at $52/hr (2% incr.) for  weeks.                                         2018:  avg 17 hrs/week at $15.08/hr (2% incr.) for 52 weeks.   2017:  $14.78/hr.</v>
      </c>
      <c r="X135" s="76" t="s">
        <v>154</v>
      </c>
      <c r="Y135" s="52"/>
    </row>
    <row r="136" spans="1:26" ht="27.65" customHeight="1">
      <c r="C136" s="285" t="s">
        <v>226</v>
      </c>
      <c r="D136" s="295"/>
      <c r="E136" s="357">
        <v>40</v>
      </c>
      <c r="F136" s="358">
        <v>17</v>
      </c>
      <c r="G136" s="357">
        <v>52</v>
      </c>
      <c r="H136" s="327">
        <v>0</v>
      </c>
      <c r="I136" s="357"/>
      <c r="J136" s="297"/>
      <c r="K136" s="358"/>
      <c r="L136" s="284">
        <f>IF(M136=0,0,(+K136-M136)/M136)</f>
        <v>0</v>
      </c>
      <c r="M136" s="360"/>
      <c r="N136" s="350"/>
      <c r="O136" s="311">
        <f>ROUND(E136*F136*G136,0)</f>
        <v>35360</v>
      </c>
      <c r="P136" s="303">
        <v>0</v>
      </c>
      <c r="Q136" s="283">
        <f t="shared" ref="Q136:Q137" si="87">+O136-P136</f>
        <v>35360</v>
      </c>
      <c r="R136" s="284" t="str">
        <f t="shared" ref="R136:R137" si="88">IF(P136=0,"NA",(+O136-P136)/P136)</f>
        <v>NA</v>
      </c>
      <c r="S136" s="285"/>
      <c r="T136" s="282">
        <v>14956.61</v>
      </c>
      <c r="U136" s="282">
        <v>0</v>
      </c>
      <c r="V136" s="284">
        <v>46.81</v>
      </c>
      <c r="W136" s="286" t="s">
        <v>313</v>
      </c>
      <c r="X136" s="76"/>
      <c r="Y136" s="52"/>
    </row>
    <row r="137" spans="1:26">
      <c r="A137" s="47">
        <v>122</v>
      </c>
      <c r="C137" s="285" t="s">
        <v>228</v>
      </c>
      <c r="D137" s="295"/>
      <c r="E137" s="357"/>
      <c r="F137" s="361"/>
      <c r="G137" s="357"/>
      <c r="H137" s="362"/>
      <c r="I137" s="357"/>
      <c r="J137" s="358"/>
      <c r="K137" s="357"/>
      <c r="L137" s="284"/>
      <c r="M137" s="360"/>
      <c r="N137" s="283"/>
      <c r="O137" s="303">
        <v>1000</v>
      </c>
      <c r="P137" s="303">
        <v>0</v>
      </c>
      <c r="Q137" s="283">
        <f t="shared" si="87"/>
        <v>1000</v>
      </c>
      <c r="R137" s="284" t="str">
        <f t="shared" si="88"/>
        <v>NA</v>
      </c>
      <c r="S137" s="285"/>
      <c r="T137" s="282">
        <v>1192.25</v>
      </c>
      <c r="U137" s="282">
        <v>0</v>
      </c>
      <c r="V137" s="284" t="str">
        <f t="shared" ref="V137" si="89">IF(U137=0,"NA",(+T137-U137)/U137)</f>
        <v>NA</v>
      </c>
      <c r="W137" s="286" t="s">
        <v>245</v>
      </c>
      <c r="X137" s="69" t="s">
        <v>130</v>
      </c>
      <c r="Y137" s="52"/>
    </row>
    <row r="138" spans="1:26" ht="29.4" customHeight="1">
      <c r="A138" s="47">
        <v>118</v>
      </c>
      <c r="C138" s="285" t="s">
        <v>58</v>
      </c>
      <c r="D138" s="295"/>
      <c r="E138" s="363">
        <v>25</v>
      </c>
      <c r="F138" s="361">
        <f>ROUND(+J138*(1+H138),2)</f>
        <v>13.37</v>
      </c>
      <c r="G138" s="357">
        <v>52</v>
      </c>
      <c r="H138" s="359">
        <f>+$F$78</f>
        <v>0.02</v>
      </c>
      <c r="I138" s="357">
        <v>25</v>
      </c>
      <c r="J138" s="358">
        <v>13.11</v>
      </c>
      <c r="K138" s="357">
        <v>52</v>
      </c>
      <c r="L138" s="284">
        <f>IF(M138=0,0,(+J138-M138)/M138)</f>
        <v>2.0233463035019439E-2</v>
      </c>
      <c r="M138" s="360">
        <v>12.85</v>
      </c>
      <c r="N138" s="350"/>
      <c r="O138" s="319">
        <f>ROUND((E138*F138*G138)+(E139*F139*G139)+(E140*F140*G140),0)</f>
        <v>33465</v>
      </c>
      <c r="P138" s="319">
        <f>ROUND((I138*J138*K138)+(I139*J139*K139)+(I140*J140*K140),0)</f>
        <v>33288</v>
      </c>
      <c r="Q138" s="283">
        <f t="shared" si="85"/>
        <v>177</v>
      </c>
      <c r="R138" s="284">
        <f t="shared" si="86"/>
        <v>5.3172314347512614E-3</v>
      </c>
      <c r="S138" s="285"/>
      <c r="T138" s="303">
        <v>30789.49</v>
      </c>
      <c r="U138" s="282">
        <v>33288</v>
      </c>
      <c r="V138" s="284">
        <f t="shared" ref="V138:V150" si="90">IF(U138=0,"NA",(+T138-U138)/U138)</f>
        <v>-7.5057378034126362E-2</v>
      </c>
      <c r="W138" s="286" t="str">
        <f>"Mark Henkel:  "&amp;Bud_Yr&amp;":  avg "&amp;E138&amp;" hrs/week at $"&amp;F138&amp;"/hr ("&amp;ROUND(H138*100,1)&amp;"% incr.) for "&amp;G138&amp;" weeks.                                       "&amp;Bud_Yr-1&amp;":  avg "&amp;I138&amp;" hrs/week at $"&amp;J138&amp;"/hr ("&amp;ROUND(L138*100,1)&amp;"% incr.) for "&amp;K138&amp;" weeks.   "</f>
        <v xml:space="preserve">Mark Henkel:  2019:  avg 25 hrs/week at $13.37/hr (2% incr.) for 52 weeks.                                       2018:  avg 25 hrs/week at $13.11/hr (2% incr.) for 52 weeks.   </v>
      </c>
      <c r="X138" s="65" t="s">
        <v>132</v>
      </c>
      <c r="Z138" s="87"/>
    </row>
    <row r="139" spans="1:26" ht="29">
      <c r="C139" s="285"/>
      <c r="D139" s="295"/>
      <c r="E139" s="363">
        <v>20</v>
      </c>
      <c r="F139" s="361">
        <f>ROUND(+J139*(1+H139),2)</f>
        <v>11.34</v>
      </c>
      <c r="G139" s="357">
        <v>52</v>
      </c>
      <c r="H139" s="359">
        <f>+$F$78</f>
        <v>0.02</v>
      </c>
      <c r="I139" s="357">
        <v>20</v>
      </c>
      <c r="J139" s="358">
        <v>11.12</v>
      </c>
      <c r="K139" s="357">
        <v>52</v>
      </c>
      <c r="L139" s="284">
        <f>IF(M139=0,0,(+J139-M139)/M139)</f>
        <v>2.0183486238532004E-2</v>
      </c>
      <c r="M139" s="358">
        <v>10.9</v>
      </c>
      <c r="N139" s="360">
        <v>10.7</v>
      </c>
      <c r="O139" s="319"/>
      <c r="P139" s="319"/>
      <c r="Q139" s="283"/>
      <c r="R139" s="284"/>
      <c r="S139" s="285"/>
      <c r="T139" s="303"/>
      <c r="U139" s="282"/>
      <c r="V139" s="284"/>
      <c r="W139" s="286" t="str">
        <f>"Rebecca Arreola:  "&amp;Bud_Yr&amp;":  avg "&amp;E139&amp;" hrs/week at $"&amp;F139&amp;"/hr ("&amp;ROUND(H139*100,1)&amp;"% incr.) for "&amp;G139&amp;" weeks.                                    "&amp;Bud_Yr-1&amp;":  avg "&amp;I139&amp;" hrs/week at $"&amp;J139&amp;"/hr ("&amp;ROUND(L139*100,1)&amp;"% incr.) for "&amp;K139&amp;" weeks.   "&amp;Bud_Yr-2&amp;":  $"&amp;M139&amp;"/hour."</f>
        <v>Rebecca Arreola:  2019:  avg 20 hrs/week at $11.34/hr (2% incr.) for 52 weeks.                                    2018:  avg 20 hrs/week at $11.12/hr (2% incr.) for 52 weeks.   2017:  $10.9/hour.</v>
      </c>
      <c r="X139" s="65"/>
      <c r="Y139" s="28"/>
      <c r="Z139" s="87"/>
    </row>
    <row r="140" spans="1:26" ht="29">
      <c r="C140" s="285"/>
      <c r="D140" s="295"/>
      <c r="E140" s="363">
        <v>7.5</v>
      </c>
      <c r="F140" s="358">
        <v>11</v>
      </c>
      <c r="G140" s="357">
        <v>52</v>
      </c>
      <c r="H140" s="362">
        <v>0</v>
      </c>
      <c r="I140" s="363">
        <v>8</v>
      </c>
      <c r="J140" s="358">
        <v>11.25</v>
      </c>
      <c r="K140" s="357">
        <v>52</v>
      </c>
      <c r="L140" s="284">
        <f>IF(M140=0,0,(+J140-M140)/M140)</f>
        <v>0</v>
      </c>
      <c r="M140" s="358">
        <v>11.25</v>
      </c>
      <c r="N140" s="360">
        <v>7.77</v>
      </c>
      <c r="O140" s="319"/>
      <c r="P140" s="319"/>
      <c r="Q140" s="283"/>
      <c r="R140" s="284"/>
      <c r="S140" s="285"/>
      <c r="T140" s="303"/>
      <c r="U140" s="282"/>
      <c r="V140" s="284"/>
      <c r="W140" s="286" t="str">
        <f>"New for "&amp;Bud_Yr&amp;":  avg "&amp;E140&amp;" hrs/week at $"&amp;F140&amp;"/hr ("&amp;ROUND(H140*100,1)&amp;"% incr.) for "&amp;G140&amp;" weeks.   Was Del Alton for                                                  "&amp;Bud_Yr-1&amp;":  avg "&amp;I140&amp;" hrs/week at $"&amp;J140&amp;"/hr ("&amp;ROUND(L140*100,1)&amp;"% incr.) for "&amp;K140&amp;" weeks.   "&amp;Bud_Yr-2&amp;":  $"&amp;M140&amp;"/hour."</f>
        <v>New for 2019:  avg 7.5 hrs/week at $11/hr (0% incr.) for 52 weeks.   Was Del Alton for                                                  2018:  avg 8 hrs/week at $11.25/hr (0% incr.) for 52 weeks.   2017:  $11.25/hour.</v>
      </c>
      <c r="X140" s="65"/>
      <c r="Y140" s="28"/>
      <c r="Z140" s="87"/>
    </row>
    <row r="141" spans="1:26">
      <c r="A141" s="47">
        <v>119</v>
      </c>
      <c r="C141" s="285" t="s">
        <v>59</v>
      </c>
      <c r="D141" s="295"/>
      <c r="E141" s="296"/>
      <c r="F141" s="297"/>
      <c r="G141" s="297"/>
      <c r="H141" s="297"/>
      <c r="I141" s="297"/>
      <c r="J141" s="297"/>
      <c r="K141" s="297"/>
      <c r="L141" s="297"/>
      <c r="M141" s="297"/>
      <c r="N141" s="285"/>
      <c r="O141" s="303">
        <v>400</v>
      </c>
      <c r="P141" s="282">
        <v>400</v>
      </c>
      <c r="Q141" s="283">
        <f t="shared" si="85"/>
        <v>0</v>
      </c>
      <c r="R141" s="284">
        <f t="shared" si="86"/>
        <v>0</v>
      </c>
      <c r="S141" s="285"/>
      <c r="T141" s="282">
        <v>442.26</v>
      </c>
      <c r="U141" s="282">
        <v>400</v>
      </c>
      <c r="V141" s="284">
        <f t="shared" si="90"/>
        <v>0.10564999999999998</v>
      </c>
      <c r="W141" s="286"/>
      <c r="X141" s="69"/>
      <c r="Z141" s="87"/>
    </row>
    <row r="142" spans="1:26">
      <c r="A142" s="47">
        <v>120</v>
      </c>
      <c r="C142" s="285" t="s">
        <v>104</v>
      </c>
      <c r="D142" s="295"/>
      <c r="E142" s="296"/>
      <c r="F142" s="297"/>
      <c r="G142" s="297"/>
      <c r="H142" s="297"/>
      <c r="I142" s="297"/>
      <c r="J142" s="297"/>
      <c r="K142" s="297"/>
      <c r="L142" s="297"/>
      <c r="M142" s="297"/>
      <c r="N142" s="285"/>
      <c r="O142" s="303">
        <f>700</f>
        <v>700</v>
      </c>
      <c r="P142" s="282">
        <v>700</v>
      </c>
      <c r="Q142" s="283">
        <f t="shared" si="85"/>
        <v>0</v>
      </c>
      <c r="R142" s="284">
        <f t="shared" si="86"/>
        <v>0</v>
      </c>
      <c r="S142" s="285"/>
      <c r="T142" s="282">
        <v>700</v>
      </c>
      <c r="U142" s="282">
        <v>700</v>
      </c>
      <c r="V142" s="284">
        <f t="shared" si="90"/>
        <v>0</v>
      </c>
      <c r="W142" s="286"/>
      <c r="X142" s="69"/>
      <c r="Z142" s="87"/>
    </row>
    <row r="143" spans="1:26" ht="14" customHeight="1">
      <c r="C143" s="285" t="s">
        <v>123</v>
      </c>
      <c r="D143" s="295"/>
      <c r="E143" s="296"/>
      <c r="F143" s="297"/>
      <c r="G143" s="297"/>
      <c r="H143" s="364"/>
      <c r="I143" s="364"/>
      <c r="J143" s="364"/>
      <c r="K143" s="364"/>
      <c r="L143" s="364"/>
      <c r="M143" s="364"/>
      <c r="N143" s="365"/>
      <c r="O143" s="319">
        <f>+'Band Estimate'!C72</f>
        <v>925</v>
      </c>
      <c r="P143" s="282">
        <v>1000</v>
      </c>
      <c r="Q143" s="283">
        <f t="shared" si="85"/>
        <v>-75</v>
      </c>
      <c r="R143" s="284">
        <f t="shared" ref="R143" si="91">IF(P143=0,"NA",(+O143-P143)/P143)</f>
        <v>-7.4999999999999997E-2</v>
      </c>
      <c r="S143" s="285"/>
      <c r="T143" s="282">
        <v>690</v>
      </c>
      <c r="U143" s="282">
        <v>1000</v>
      </c>
      <c r="V143" s="284">
        <f t="shared" ref="V143" si="92">IF(U143=0,"NA",(+T143-U143)/U143)</f>
        <v>-0.31</v>
      </c>
      <c r="W143" s="286" t="s">
        <v>182</v>
      </c>
      <c r="X143" s="65" t="s">
        <v>146</v>
      </c>
      <c r="Z143" s="87"/>
    </row>
    <row r="144" spans="1:26" ht="29">
      <c r="C144" s="285" t="s">
        <v>190</v>
      </c>
      <c r="D144" s="295"/>
      <c r="E144" s="357"/>
      <c r="F144" s="361">
        <f>ROUND(+J144*(1+H144),2)</f>
        <v>14.64</v>
      </c>
      <c r="G144" s="357"/>
      <c r="H144" s="359">
        <f>+$F$78</f>
        <v>0.02</v>
      </c>
      <c r="I144" s="357">
        <v>27</v>
      </c>
      <c r="J144" s="358">
        <v>14.35</v>
      </c>
      <c r="K144" s="357">
        <v>52</v>
      </c>
      <c r="L144" s="284">
        <f>IF(M144=0,0,(+J144-M144)/M144)</f>
        <v>2.4999999999999974E-2</v>
      </c>
      <c r="M144" s="358">
        <v>14</v>
      </c>
      <c r="N144" s="360">
        <v>12.12</v>
      </c>
      <c r="O144" s="319">
        <f>ROUND(E144*F144*G144,0)</f>
        <v>0</v>
      </c>
      <c r="P144" s="319">
        <f>ROUND(+I144*J144*K144,0)</f>
        <v>20147</v>
      </c>
      <c r="Q144" s="283">
        <f t="shared" ref="Q144" si="93">+O144-P144</f>
        <v>-20147</v>
      </c>
      <c r="R144" s="284">
        <f t="shared" ref="R144" si="94">IF(P144=0,"NA",(+O144-P144)/P144)</f>
        <v>-1</v>
      </c>
      <c r="S144" s="285"/>
      <c r="T144" s="282">
        <v>15722.91</v>
      </c>
      <c r="U144" s="282">
        <v>20147</v>
      </c>
      <c r="V144" s="284">
        <f t="shared" ref="V144" si="95">IF(U144=0,"NA",(+T144-U144)/U144)</f>
        <v>-0.21959050975331315</v>
      </c>
      <c r="W144" s="286" t="str">
        <f>"Debbie Toff:  "&amp;Bud_Yr&amp;":  avg "&amp;E144&amp;" hrs/week at $"&amp;F144&amp;"/hr ("&amp;ROUND(H144*100,1)&amp;"% incr.) for "&amp;G144&amp;" weeks.                              "&amp;Bud_Yr-1&amp;":  avg "&amp;I144&amp;" hrs/week at $"&amp;J144&amp;"/hr ("&amp;ROUND(L144*100,1)&amp;"% incr.) for "&amp;K144&amp;" weeks.   "&amp;Bud_Yr-2&amp;":  $"&amp;M144&amp;"/hour."</f>
        <v>Debbie Toff:  2019:  avg  hrs/week at $14.64/hr (2% incr.) for  weeks.                              2018:  avg 27 hrs/week at $14.35/hr (2.5% incr.) for 52 weeks.   2017:  $14/hour.</v>
      </c>
      <c r="X144" s="69"/>
      <c r="Y144" s="52"/>
    </row>
    <row r="145" spans="1:24" ht="29">
      <c r="C145" s="523" t="s">
        <v>227</v>
      </c>
      <c r="D145" s="523"/>
      <c r="E145" s="357">
        <v>15</v>
      </c>
      <c r="F145" s="361">
        <f>ROUND(+J145*(1+H145),2)</f>
        <v>14.28</v>
      </c>
      <c r="G145" s="357">
        <v>52</v>
      </c>
      <c r="H145" s="359">
        <f>+$F$78</f>
        <v>0.02</v>
      </c>
      <c r="I145" s="357">
        <v>15</v>
      </c>
      <c r="J145" s="358">
        <v>14</v>
      </c>
      <c r="K145" s="357">
        <v>52</v>
      </c>
      <c r="L145" s="284">
        <f>IF(M145=0,0,(+J145-M145)/M145)</f>
        <v>0</v>
      </c>
      <c r="M145" s="358">
        <v>14</v>
      </c>
      <c r="N145" s="285"/>
      <c r="O145" s="366">
        <f>ROUND(+E145*F145*G145,0)</f>
        <v>11138</v>
      </c>
      <c r="P145" s="319">
        <f>ROUND(+I145*J145*K145,0)</f>
        <v>10920</v>
      </c>
      <c r="Q145" s="283">
        <f t="shared" ref="Q145" si="96">+O145-P145</f>
        <v>218</v>
      </c>
      <c r="R145" s="284">
        <f t="shared" ref="R145" si="97">IF(P145=0,"NA",(+O145-P145)/P145)</f>
        <v>1.9963369963369962E-2</v>
      </c>
      <c r="S145" s="285"/>
      <c r="T145" s="282">
        <v>12959.55</v>
      </c>
      <c r="U145" s="282">
        <v>10920</v>
      </c>
      <c r="V145" s="284">
        <f>IF(U145=0,"NA",(+T145-U145)/U145)</f>
        <v>0.18677197802197795</v>
      </c>
      <c r="W145" s="286" t="str">
        <f>"Heather Keszler:  "&amp;Bud_Yr&amp;":  avg "&amp;E145&amp;" hrs/week at $"&amp;F145&amp;"/hr ("&amp;ROUND(H145*100,1)&amp;"% incr.) for "&amp;G145&amp;" weeks.                       "&amp;Bud_Yr-1&amp;":  avg "&amp;I145&amp;" hrs/week at $"&amp;J145&amp;"/hr ("&amp;ROUND(L145*100,1)&amp;"% incr.) for "&amp;K145&amp;" weeks.   "</f>
        <v xml:space="preserve">Heather Keszler:  2019:  avg 15 hrs/week at $14.28/hr (2% incr.) for 52 weeks.                       2018:  avg 15 hrs/week at $14/hr (0% incr.) for 52 weeks.   </v>
      </c>
      <c r="X145" s="66"/>
    </row>
    <row r="146" spans="1:24" ht="14.5" customHeight="1">
      <c r="A146" s="47">
        <v>123</v>
      </c>
      <c r="C146" s="285" t="s">
        <v>60</v>
      </c>
      <c r="D146" s="295"/>
      <c r="E146" s="367">
        <f>+O90+O99+O104+O109+O119+O132+O135+O136+O137+O138+O141+O142+O143+O145+O148</f>
        <v>308415.38049999997</v>
      </c>
      <c r="F146" s="367"/>
      <c r="G146" s="367"/>
      <c r="H146" s="367"/>
      <c r="I146" s="367">
        <f>+P90+P99+P104+P109+P119+P132+P135+P136+P137+P138+P141+P142+P143+P145+P148</f>
        <v>274740.84341041668</v>
      </c>
      <c r="J146" s="368"/>
      <c r="K146" s="369"/>
      <c r="L146" s="369"/>
      <c r="M146" s="370">
        <v>7.6499999999999999E-2</v>
      </c>
      <c r="N146" s="285"/>
      <c r="O146" s="319">
        <f>ROUND((+O93+O107+O108+O112+O132+O135+O136+131+O138+O143+O144+O148)*M146,0)</f>
        <v>14349</v>
      </c>
      <c r="P146" s="319">
        <f>ROUND((+P80+P93+P107+P108+P112+P135+P138+P144+P145+P143+P129+P122+P128+P130)*M146,0)</f>
        <v>17798</v>
      </c>
      <c r="Q146" s="283">
        <f t="shared" si="85"/>
        <v>-3449</v>
      </c>
      <c r="R146" s="284">
        <f t="shared" si="86"/>
        <v>-0.19378581863130689</v>
      </c>
      <c r="S146" s="285"/>
      <c r="T146" s="303">
        <v>12131.41</v>
      </c>
      <c r="U146" s="303">
        <v>17798</v>
      </c>
      <c r="V146" s="284">
        <f t="shared" si="90"/>
        <v>-0.31838352623890326</v>
      </c>
      <c r="W146" s="351" t="s">
        <v>271</v>
      </c>
      <c r="X146" s="69" t="s">
        <v>147</v>
      </c>
    </row>
    <row r="147" spans="1:24" ht="14.4" customHeight="1">
      <c r="A147" s="47">
        <v>124</v>
      </c>
      <c r="C147" s="290" t="s">
        <v>61</v>
      </c>
      <c r="D147" s="298"/>
      <c r="E147" s="299"/>
      <c r="F147" s="468"/>
      <c r="G147" s="468"/>
      <c r="H147" s="468"/>
      <c r="I147" s="300"/>
      <c r="J147" s="300"/>
      <c r="K147" s="300"/>
      <c r="L147" s="300"/>
      <c r="M147" s="300"/>
      <c r="N147" s="290"/>
      <c r="O147" s="304">
        <v>3384</v>
      </c>
      <c r="P147" s="287">
        <v>3115</v>
      </c>
      <c r="Q147" s="288">
        <f t="shared" si="85"/>
        <v>269</v>
      </c>
      <c r="R147" s="289">
        <f t="shared" si="86"/>
        <v>8.6356340288924555E-2</v>
      </c>
      <c r="S147" s="290"/>
      <c r="T147" s="304">
        <v>3329</v>
      </c>
      <c r="U147" s="304">
        <v>3115</v>
      </c>
      <c r="V147" s="289">
        <f t="shared" si="90"/>
        <v>6.8699839486356343E-2</v>
      </c>
      <c r="W147" s="291" t="s">
        <v>304</v>
      </c>
      <c r="X147" s="69" t="s">
        <v>148</v>
      </c>
    </row>
    <row r="148" spans="1:24">
      <c r="A148" s="47">
        <v>125</v>
      </c>
      <c r="C148" s="1" t="s">
        <v>62</v>
      </c>
      <c r="O148" s="61">
        <v>0</v>
      </c>
      <c r="P148" s="59">
        <v>0</v>
      </c>
      <c r="Q148" s="40">
        <f t="shared" si="85"/>
        <v>0</v>
      </c>
      <c r="R148" s="6" t="str">
        <f t="shared" si="86"/>
        <v>NA</v>
      </c>
      <c r="T148" s="61">
        <v>1481.75</v>
      </c>
      <c r="U148" s="61">
        <v>0</v>
      </c>
      <c r="V148" s="6" t="str">
        <f t="shared" si="90"/>
        <v>NA</v>
      </c>
      <c r="W148" s="69"/>
      <c r="X148" s="65"/>
    </row>
    <row r="149" spans="1:24" s="4" customFormat="1">
      <c r="A149" s="47">
        <v>127</v>
      </c>
      <c r="B149" s="26" t="s">
        <v>57</v>
      </c>
      <c r="C149" s="26"/>
      <c r="D149" s="26"/>
      <c r="E149" s="98"/>
      <c r="F149" s="98"/>
      <c r="G149" s="98"/>
      <c r="H149" s="98"/>
      <c r="I149" s="98"/>
      <c r="J149" s="98"/>
      <c r="K149" s="98"/>
      <c r="L149" s="98"/>
      <c r="M149" s="98"/>
      <c r="N149" s="26"/>
      <c r="O149" s="26">
        <f>SUM(O135:O148)</f>
        <v>100721</v>
      </c>
      <c r="P149" s="26">
        <f>SUM(P135:P148)</f>
        <v>100699</v>
      </c>
      <c r="Q149" s="26">
        <f>SUM(Q135:Q148)</f>
        <v>22</v>
      </c>
      <c r="R149" s="27">
        <f t="shared" si="86"/>
        <v>2.1847287460650055E-4</v>
      </c>
      <c r="T149" s="26">
        <f>SUM(T135:T148)</f>
        <v>100353.78000000001</v>
      </c>
      <c r="U149" s="26">
        <f>SUM(U135:U148)</f>
        <v>100699</v>
      </c>
      <c r="V149" s="27">
        <f t="shared" si="90"/>
        <v>-3.4282366259842361E-3</v>
      </c>
      <c r="W149" s="84"/>
      <c r="X149" s="68"/>
    </row>
    <row r="150" spans="1:24">
      <c r="A150" s="47">
        <v>128</v>
      </c>
      <c r="B150" s="26" t="s">
        <v>63</v>
      </c>
      <c r="C150" s="26"/>
      <c r="D150" s="26"/>
      <c r="E150" s="98"/>
      <c r="F150" s="27"/>
      <c r="G150" s="27"/>
      <c r="H150" s="27"/>
      <c r="I150" s="27"/>
      <c r="J150" s="27"/>
      <c r="K150" s="27"/>
      <c r="L150" s="27"/>
      <c r="M150" s="27"/>
      <c r="N150" s="36"/>
      <c r="O150" s="26">
        <f>+O90+O99+O104+O109+O119+O132+O149</f>
        <v>326148.38049999997</v>
      </c>
      <c r="P150" s="26">
        <f>+P90+P99+P104+P109+P119+P132+P149</f>
        <v>315800.84341041668</v>
      </c>
      <c r="Q150" s="26">
        <f>+Q90+Q99+Q104+Q109+Q119+Q132+Q149</f>
        <v>10347.537089583326</v>
      </c>
      <c r="R150" s="27">
        <f t="shared" si="86"/>
        <v>3.2766021071500333E-2</v>
      </c>
      <c r="T150" s="26">
        <f>+T90+T99+T104+T109+T119+T132+T149</f>
        <v>285501.7</v>
      </c>
      <c r="U150" s="26">
        <f>+U90+U99+U104+U109+U119+U132+U149</f>
        <v>315801.52</v>
      </c>
      <c r="V150" s="27">
        <f t="shared" si="90"/>
        <v>-9.5945769988694182E-2</v>
      </c>
      <c r="W150" s="82"/>
      <c r="X150" s="66"/>
    </row>
    <row r="151" spans="1:24" ht="8.25" customHeight="1">
      <c r="A151" s="47">
        <v>129</v>
      </c>
      <c r="R151" s="7"/>
      <c r="W151" s="82"/>
      <c r="X151" s="66"/>
    </row>
    <row r="152" spans="1:24" ht="18.5">
      <c r="A152" s="47">
        <v>130</v>
      </c>
      <c r="B152" s="9" t="s">
        <v>64</v>
      </c>
      <c r="R152" s="7"/>
      <c r="W152" s="82"/>
      <c r="X152" s="66"/>
    </row>
    <row r="153" spans="1:24">
      <c r="A153" s="47">
        <v>131</v>
      </c>
      <c r="B153" s="4" t="s">
        <v>65</v>
      </c>
      <c r="R153" s="7"/>
      <c r="W153" s="82"/>
      <c r="X153" s="66"/>
    </row>
    <row r="154" spans="1:24" ht="14.4" customHeight="1">
      <c r="A154" s="47">
        <v>132</v>
      </c>
      <c r="C154" s="1" t="s">
        <v>67</v>
      </c>
      <c r="O154" s="305">
        <f>+P154*1.25</f>
        <v>10500</v>
      </c>
      <c r="P154" s="305">
        <v>8400</v>
      </c>
      <c r="Q154" s="278">
        <f t="shared" ref="Q154:Q160" si="98">+O154-P154</f>
        <v>2100</v>
      </c>
      <c r="R154" s="279">
        <f t="shared" ref="R154:R161" si="99">IF(P154=0,"NA",(+O154-P154)/P154)</f>
        <v>0.25</v>
      </c>
      <c r="S154" s="280"/>
      <c r="T154" s="277">
        <v>10454.19</v>
      </c>
      <c r="U154" s="277">
        <v>8400</v>
      </c>
      <c r="V154" s="279">
        <f t="shared" ref="V154:V161" si="100">IF(U154=0,"NA",(+T154-U154)/U154)</f>
        <v>0.24454642857142864</v>
      </c>
      <c r="W154" s="281"/>
      <c r="X154" s="65" t="s">
        <v>149</v>
      </c>
    </row>
    <row r="155" spans="1:24" ht="14.4" customHeight="1">
      <c r="A155" s="47">
        <v>133</v>
      </c>
      <c r="C155" s="1" t="s">
        <v>68</v>
      </c>
      <c r="O155" s="303">
        <f>+P155*(1+0.02)</f>
        <v>8160</v>
      </c>
      <c r="P155" s="303">
        <v>8000</v>
      </c>
      <c r="Q155" s="283">
        <f t="shared" si="98"/>
        <v>160</v>
      </c>
      <c r="R155" s="284">
        <f t="shared" si="99"/>
        <v>0.02</v>
      </c>
      <c r="S155" s="285"/>
      <c r="T155" s="282">
        <v>8041.28</v>
      </c>
      <c r="U155" s="282">
        <v>8000</v>
      </c>
      <c r="V155" s="284">
        <f t="shared" si="100"/>
        <v>5.1599999999999684E-3</v>
      </c>
      <c r="W155" s="329"/>
      <c r="X155" s="73" t="s">
        <v>155</v>
      </c>
    </row>
    <row r="156" spans="1:24" ht="28" customHeight="1">
      <c r="A156" s="47">
        <v>134</v>
      </c>
      <c r="C156" s="1" t="s">
        <v>69</v>
      </c>
      <c r="N156" s="5"/>
      <c r="O156" s="282">
        <v>4500</v>
      </c>
      <c r="P156" s="282">
        <v>5000</v>
      </c>
      <c r="Q156" s="283">
        <f t="shared" si="98"/>
        <v>-500</v>
      </c>
      <c r="R156" s="284">
        <f t="shared" si="99"/>
        <v>-0.1</v>
      </c>
      <c r="S156" s="285"/>
      <c r="T156" s="282">
        <v>5399.45</v>
      </c>
      <c r="U156" s="282">
        <v>5000</v>
      </c>
      <c r="V156" s="284">
        <f t="shared" si="100"/>
        <v>7.9889999999999961E-2</v>
      </c>
      <c r="W156" s="286" t="s">
        <v>246</v>
      </c>
      <c r="X156" s="72"/>
    </row>
    <row r="157" spans="1:24" ht="14.4" customHeight="1">
      <c r="A157" s="47">
        <v>135</v>
      </c>
      <c r="C157" s="1" t="s">
        <v>70</v>
      </c>
      <c r="O157" s="282">
        <f>+P157*(1+0.02)</f>
        <v>816</v>
      </c>
      <c r="P157" s="282">
        <v>800</v>
      </c>
      <c r="Q157" s="283">
        <f t="shared" si="98"/>
        <v>16</v>
      </c>
      <c r="R157" s="284">
        <f t="shared" si="99"/>
        <v>0.02</v>
      </c>
      <c r="S157" s="285"/>
      <c r="T157" s="282">
        <v>846.17</v>
      </c>
      <c r="U157" s="282">
        <v>800</v>
      </c>
      <c r="V157" s="284">
        <f t="shared" si="100"/>
        <v>5.7712499999999951E-2</v>
      </c>
      <c r="W157" s="286"/>
      <c r="X157" s="65"/>
    </row>
    <row r="158" spans="1:24" ht="14.4" customHeight="1">
      <c r="A158" s="47">
        <v>136</v>
      </c>
      <c r="C158" s="1" t="s">
        <v>71</v>
      </c>
      <c r="O158" s="303">
        <v>300</v>
      </c>
      <c r="P158" s="303">
        <v>300</v>
      </c>
      <c r="Q158" s="283">
        <f t="shared" si="98"/>
        <v>0</v>
      </c>
      <c r="R158" s="284">
        <f t="shared" si="99"/>
        <v>0</v>
      </c>
      <c r="S158" s="285"/>
      <c r="T158" s="282">
        <v>680.37</v>
      </c>
      <c r="U158" s="282">
        <v>300</v>
      </c>
      <c r="V158" s="284">
        <f t="shared" si="100"/>
        <v>1.2679</v>
      </c>
      <c r="W158" s="286" t="s">
        <v>247</v>
      </c>
      <c r="X158" s="73" t="s">
        <v>156</v>
      </c>
    </row>
    <row r="159" spans="1:24" ht="14.4" customHeight="1">
      <c r="A159" s="47">
        <v>137</v>
      </c>
      <c r="C159" s="1" t="s">
        <v>72</v>
      </c>
      <c r="H159" s="99"/>
      <c r="I159" s="99"/>
      <c r="J159" s="99"/>
      <c r="K159" s="99"/>
      <c r="L159" s="99"/>
      <c r="M159" s="99"/>
      <c r="O159" s="303">
        <f>50*12</f>
        <v>600</v>
      </c>
      <c r="P159" s="303">
        <v>2000</v>
      </c>
      <c r="Q159" s="283">
        <f t="shared" si="98"/>
        <v>-1400</v>
      </c>
      <c r="R159" s="284">
        <f t="shared" si="99"/>
        <v>-0.7</v>
      </c>
      <c r="S159" s="285"/>
      <c r="T159" s="282">
        <v>1674.62</v>
      </c>
      <c r="U159" s="282">
        <v>2000</v>
      </c>
      <c r="V159" s="284">
        <f t="shared" si="100"/>
        <v>-0.16269000000000006</v>
      </c>
      <c r="W159" s="286" t="s">
        <v>307</v>
      </c>
      <c r="X159" s="69" t="s">
        <v>157</v>
      </c>
    </row>
    <row r="160" spans="1:24" ht="14.4" customHeight="1">
      <c r="A160" s="47">
        <v>138</v>
      </c>
      <c r="C160" s="1" t="s">
        <v>110</v>
      </c>
      <c r="O160" s="287">
        <v>4500</v>
      </c>
      <c r="P160" s="287">
        <v>4500</v>
      </c>
      <c r="Q160" s="288">
        <f t="shared" si="98"/>
        <v>0</v>
      </c>
      <c r="R160" s="289">
        <f t="shared" si="99"/>
        <v>0</v>
      </c>
      <c r="S160" s="290"/>
      <c r="T160" s="287">
        <v>4242.25</v>
      </c>
      <c r="U160" s="287">
        <v>4500</v>
      </c>
      <c r="V160" s="289">
        <f t="shared" si="100"/>
        <v>-5.7277777777777775E-2</v>
      </c>
      <c r="W160" s="291"/>
      <c r="X160" s="65"/>
    </row>
    <row r="161" spans="1:24" s="4" customFormat="1">
      <c r="A161" s="47">
        <v>139</v>
      </c>
      <c r="B161" s="29" t="s">
        <v>73</v>
      </c>
      <c r="C161" s="29"/>
      <c r="D161" s="29"/>
      <c r="E161" s="100"/>
      <c r="F161" s="100"/>
      <c r="G161" s="100"/>
      <c r="H161" s="100"/>
      <c r="I161" s="100"/>
      <c r="J161" s="100"/>
      <c r="K161" s="100"/>
      <c r="L161" s="100"/>
      <c r="M161" s="100"/>
      <c r="N161" s="29"/>
      <c r="O161" s="29">
        <f>SUM(O154:O160)</f>
        <v>29376</v>
      </c>
      <c r="P161" s="29">
        <f>SUM(P154:P160)</f>
        <v>29000</v>
      </c>
      <c r="Q161" s="29">
        <f>SUM(Q154:Q160)</f>
        <v>376</v>
      </c>
      <c r="R161" s="30">
        <f t="shared" si="99"/>
        <v>1.296551724137931E-2</v>
      </c>
      <c r="T161" s="29">
        <f>SUM(T154:T160)</f>
        <v>31338.329999999998</v>
      </c>
      <c r="U161" s="29">
        <f>SUM(U154:U160)</f>
        <v>29000</v>
      </c>
      <c r="V161" s="30">
        <f t="shared" si="100"/>
        <v>8.0632068965517181E-2</v>
      </c>
      <c r="W161" s="84"/>
      <c r="X161" s="68"/>
    </row>
    <row r="162" spans="1:24" s="4" customFormat="1" ht="6.75" customHeight="1">
      <c r="A162" s="47">
        <v>140</v>
      </c>
      <c r="B162" s="17"/>
      <c r="C162" s="17"/>
      <c r="D162" s="17"/>
      <c r="E162" s="90"/>
      <c r="F162" s="90"/>
      <c r="G162" s="90"/>
      <c r="H162" s="90"/>
      <c r="I162" s="90"/>
      <c r="J162" s="90"/>
      <c r="K162" s="90"/>
      <c r="L162" s="90"/>
      <c r="M162" s="90"/>
      <c r="N162" s="17"/>
      <c r="O162" s="17"/>
      <c r="P162" s="17"/>
      <c r="Q162" s="17"/>
      <c r="R162" s="20"/>
      <c r="T162" s="17"/>
      <c r="U162" s="17"/>
      <c r="V162" s="20"/>
      <c r="W162" s="84"/>
      <c r="X162" s="68"/>
    </row>
    <row r="163" spans="1:24">
      <c r="A163" s="47">
        <v>141</v>
      </c>
      <c r="B163" s="4" t="s">
        <v>74</v>
      </c>
      <c r="R163" s="7"/>
      <c r="W163" s="82"/>
      <c r="X163" s="66"/>
    </row>
    <row r="164" spans="1:24" ht="43.5">
      <c r="A164" s="47">
        <v>142</v>
      </c>
      <c r="C164" s="280" t="s">
        <v>75</v>
      </c>
      <c r="D164" s="292"/>
      <c r="E164" s="293"/>
      <c r="F164" s="294"/>
      <c r="G164" s="294"/>
      <c r="H164" s="294"/>
      <c r="I164" s="294"/>
      <c r="J164" s="294"/>
      <c r="K164" s="294"/>
      <c r="L164" s="294"/>
      <c r="M164" s="294"/>
      <c r="N164" s="280"/>
      <c r="O164" s="305">
        <f>+P164*(1+0.14)+4</f>
        <v>16899.940000000002</v>
      </c>
      <c r="P164" s="305">
        <v>14821</v>
      </c>
      <c r="Q164" s="278">
        <f t="shared" ref="Q164:Q169" si="101">+O164-P164</f>
        <v>2078.9400000000023</v>
      </c>
      <c r="R164" s="279">
        <f t="shared" ref="R164:R171" si="102">IF(P164=0,"NA",(+O164-P164)/P164)</f>
        <v>0.14026988732204321</v>
      </c>
      <c r="S164" s="280"/>
      <c r="T164" s="277">
        <v>15945.5</v>
      </c>
      <c r="U164" s="277">
        <v>14821</v>
      </c>
      <c r="V164" s="279">
        <f t="shared" ref="V164:V171" si="103">IF(U164=0,"NA",(+T164-U164)/U164)</f>
        <v>7.5872073409351592E-2</v>
      </c>
      <c r="W164" s="371" t="s">
        <v>248</v>
      </c>
      <c r="X164" s="65" t="s">
        <v>158</v>
      </c>
    </row>
    <row r="165" spans="1:24">
      <c r="A165" s="47">
        <v>143</v>
      </c>
      <c r="C165" s="285" t="s">
        <v>76</v>
      </c>
      <c r="D165" s="295"/>
      <c r="E165" s="296"/>
      <c r="F165" s="297"/>
      <c r="G165" s="297"/>
      <c r="H165" s="297"/>
      <c r="I165" s="297"/>
      <c r="J165" s="297"/>
      <c r="K165" s="297"/>
      <c r="L165" s="297"/>
      <c r="M165" s="297"/>
      <c r="N165" s="285"/>
      <c r="O165" s="282">
        <v>4500</v>
      </c>
      <c r="P165" s="282">
        <v>4000</v>
      </c>
      <c r="Q165" s="283">
        <f t="shared" si="101"/>
        <v>500</v>
      </c>
      <c r="R165" s="284">
        <f t="shared" si="102"/>
        <v>0.125</v>
      </c>
      <c r="S165" s="285"/>
      <c r="T165" s="282">
        <v>5446.5</v>
      </c>
      <c r="U165" s="282">
        <v>4000</v>
      </c>
      <c r="V165" s="284">
        <f t="shared" si="103"/>
        <v>0.36162499999999997</v>
      </c>
      <c r="W165" s="286"/>
      <c r="X165" s="65"/>
    </row>
    <row r="166" spans="1:24">
      <c r="A166" s="47">
        <v>144</v>
      </c>
      <c r="C166" s="285" t="s">
        <v>102</v>
      </c>
      <c r="D166" s="295"/>
      <c r="E166" s="296"/>
      <c r="F166" s="297"/>
      <c r="G166" s="297"/>
      <c r="H166" s="297"/>
      <c r="I166" s="297"/>
      <c r="J166" s="297"/>
      <c r="K166" s="297"/>
      <c r="L166" s="297"/>
      <c r="M166" s="297"/>
      <c r="N166" s="285"/>
      <c r="O166" s="282">
        <v>4000</v>
      </c>
      <c r="P166" s="282">
        <v>4000</v>
      </c>
      <c r="Q166" s="283">
        <f t="shared" si="101"/>
        <v>0</v>
      </c>
      <c r="R166" s="284">
        <f t="shared" si="102"/>
        <v>0</v>
      </c>
      <c r="S166" s="285"/>
      <c r="T166" s="282">
        <v>4403.93</v>
      </c>
      <c r="U166" s="282">
        <v>4000</v>
      </c>
      <c r="V166" s="284">
        <f t="shared" si="103"/>
        <v>0.10098250000000007</v>
      </c>
      <c r="W166" s="286"/>
      <c r="X166" s="65"/>
    </row>
    <row r="167" spans="1:24" ht="43.5">
      <c r="A167" s="47">
        <v>145</v>
      </c>
      <c r="C167" s="523" t="s">
        <v>105</v>
      </c>
      <c r="D167" s="523"/>
      <c r="E167" s="372"/>
      <c r="F167" s="372"/>
      <c r="G167" s="372"/>
      <c r="H167" s="372"/>
      <c r="I167" s="372"/>
      <c r="J167" s="372"/>
      <c r="K167" s="372"/>
      <c r="L167" s="372"/>
      <c r="M167" s="372"/>
      <c r="N167" s="373"/>
      <c r="O167" s="303">
        <v>8000</v>
      </c>
      <c r="P167" s="282">
        <v>3500</v>
      </c>
      <c r="Q167" s="283">
        <f t="shared" si="101"/>
        <v>4500</v>
      </c>
      <c r="R167" s="284">
        <f t="shared" si="102"/>
        <v>1.2857142857142858</v>
      </c>
      <c r="S167" s="285"/>
      <c r="T167" s="282">
        <v>5420.17</v>
      </c>
      <c r="U167" s="282">
        <v>3500</v>
      </c>
      <c r="V167" s="284">
        <f t="shared" si="103"/>
        <v>0.54862</v>
      </c>
      <c r="W167" s="286" t="s">
        <v>250</v>
      </c>
      <c r="X167" s="65"/>
    </row>
    <row r="168" spans="1:24" ht="42.75" customHeight="1">
      <c r="A168" s="47">
        <v>146</v>
      </c>
      <c r="C168" s="290" t="s">
        <v>77</v>
      </c>
      <c r="D168" s="298"/>
      <c r="E168" s="299"/>
      <c r="F168" s="300"/>
      <c r="G168" s="300"/>
      <c r="H168" s="300"/>
      <c r="I168" s="300"/>
      <c r="J168" s="300"/>
      <c r="K168" s="300"/>
      <c r="L168" s="300"/>
      <c r="M168" s="300"/>
      <c r="N168" s="290"/>
      <c r="O168" s="287">
        <v>8000</v>
      </c>
      <c r="P168" s="287">
        <v>7500</v>
      </c>
      <c r="Q168" s="288">
        <f t="shared" si="101"/>
        <v>500</v>
      </c>
      <c r="R168" s="289">
        <f t="shared" si="102"/>
        <v>6.6666666666666666E-2</v>
      </c>
      <c r="S168" s="290"/>
      <c r="T168" s="304">
        <v>13311.75</v>
      </c>
      <c r="U168" s="287">
        <v>7500</v>
      </c>
      <c r="V168" s="289">
        <f t="shared" si="103"/>
        <v>0.77490000000000003</v>
      </c>
      <c r="W168" s="291" t="s">
        <v>298</v>
      </c>
      <c r="X168" s="65"/>
    </row>
    <row r="169" spans="1:24" hidden="1">
      <c r="A169" s="47">
        <v>149</v>
      </c>
      <c r="C169" s="1" t="s">
        <v>78</v>
      </c>
      <c r="O169" s="59">
        <v>0</v>
      </c>
      <c r="P169" s="59">
        <v>0</v>
      </c>
      <c r="Q169" s="40">
        <f t="shared" si="101"/>
        <v>0</v>
      </c>
      <c r="R169" s="6" t="str">
        <f t="shared" si="102"/>
        <v>NA</v>
      </c>
      <c r="T169" s="59">
        <v>0</v>
      </c>
      <c r="U169" s="59">
        <v>0</v>
      </c>
      <c r="V169" s="6" t="str">
        <f t="shared" si="103"/>
        <v>NA</v>
      </c>
      <c r="W169" s="84"/>
      <c r="X169" s="69"/>
    </row>
    <row r="170" spans="1:24" s="4" customFormat="1">
      <c r="A170" s="47">
        <v>150</v>
      </c>
      <c r="B170" s="29" t="s">
        <v>79</v>
      </c>
      <c r="C170" s="29"/>
      <c r="D170" s="29"/>
      <c r="E170" s="100"/>
      <c r="F170" s="100"/>
      <c r="G170" s="100"/>
      <c r="H170" s="100"/>
      <c r="I170" s="100"/>
      <c r="J170" s="100"/>
      <c r="K170" s="100"/>
      <c r="L170" s="100"/>
      <c r="M170" s="100"/>
      <c r="N170" s="29"/>
      <c r="O170" s="29">
        <f>SUM(O164:O169)</f>
        <v>41399.94</v>
      </c>
      <c r="P170" s="29">
        <f>SUM(P164:P169)</f>
        <v>33821</v>
      </c>
      <c r="Q170" s="29">
        <f>SUM(Q164:Q169)</f>
        <v>7578.9400000000023</v>
      </c>
      <c r="R170" s="30">
        <f t="shared" si="102"/>
        <v>0.22408976671298905</v>
      </c>
      <c r="T170" s="29">
        <f>SUM(T164:T169)</f>
        <v>44527.85</v>
      </c>
      <c r="U170" s="29">
        <f>SUM(U164:U169)</f>
        <v>33821</v>
      </c>
      <c r="V170" s="30">
        <f t="shared" si="103"/>
        <v>0.31657402205730162</v>
      </c>
      <c r="W170" s="84"/>
      <c r="X170" s="68"/>
    </row>
    <row r="171" spans="1:24">
      <c r="A171" s="47">
        <v>151</v>
      </c>
      <c r="B171" s="29" t="s">
        <v>80</v>
      </c>
      <c r="C171" s="29"/>
      <c r="D171" s="29"/>
      <c r="E171" s="100"/>
      <c r="F171" s="100"/>
      <c r="G171" s="100"/>
      <c r="H171" s="100"/>
      <c r="I171" s="100"/>
      <c r="J171" s="100"/>
      <c r="K171" s="100"/>
      <c r="L171" s="100"/>
      <c r="M171" s="100"/>
      <c r="N171" s="29"/>
      <c r="O171" s="29">
        <f>+O161+O170</f>
        <v>70775.94</v>
      </c>
      <c r="P171" s="29">
        <f>+P161+P170</f>
        <v>62821</v>
      </c>
      <c r="Q171" s="29">
        <f>+Q161+Q170</f>
        <v>7954.9400000000023</v>
      </c>
      <c r="R171" s="30">
        <f t="shared" si="102"/>
        <v>0.1266286751245603</v>
      </c>
      <c r="T171" s="29">
        <f>+T161+T170</f>
        <v>75866.179999999993</v>
      </c>
      <c r="U171" s="29">
        <f>+U161+U170</f>
        <v>62821</v>
      </c>
      <c r="V171" s="30">
        <f t="shared" si="103"/>
        <v>0.20765635695070109</v>
      </c>
      <c r="W171" s="82"/>
      <c r="X171" s="66"/>
    </row>
    <row r="172" spans="1:24" ht="4.5" customHeight="1">
      <c r="A172" s="47">
        <v>152</v>
      </c>
      <c r="R172" s="7"/>
      <c r="W172" s="82"/>
      <c r="X172" s="66"/>
    </row>
    <row r="173" spans="1:24" ht="18.5">
      <c r="A173" s="47">
        <v>153</v>
      </c>
      <c r="B173" s="9" t="s">
        <v>81</v>
      </c>
      <c r="R173" s="7"/>
      <c r="W173" s="82"/>
      <c r="X173" s="66"/>
    </row>
    <row r="174" spans="1:24">
      <c r="A174" s="47">
        <v>154</v>
      </c>
      <c r="B174" s="4" t="s">
        <v>82</v>
      </c>
      <c r="R174" s="7"/>
      <c r="W174" s="82"/>
      <c r="X174" s="66"/>
    </row>
    <row r="175" spans="1:24" ht="29">
      <c r="C175" s="280" t="s">
        <v>83</v>
      </c>
      <c r="D175" s="292"/>
      <c r="E175" s="293"/>
      <c r="F175" s="294"/>
      <c r="G175" s="294"/>
      <c r="H175" s="294"/>
      <c r="I175" s="294"/>
      <c r="J175" s="294"/>
      <c r="K175" s="294"/>
      <c r="L175" s="294"/>
      <c r="M175" s="294"/>
      <c r="N175" s="280"/>
      <c r="O175" s="305">
        <v>0</v>
      </c>
      <c r="P175" s="305">
        <v>0</v>
      </c>
      <c r="Q175" s="278">
        <f t="shared" ref="Q175" si="104">+O175-P175</f>
        <v>0</v>
      </c>
      <c r="R175" s="279" t="str">
        <f t="shared" ref="R175" si="105">IF(P175=0,"NA",(+O175-P175)/P175)</f>
        <v>NA</v>
      </c>
      <c r="S175" s="280"/>
      <c r="T175" s="277">
        <v>50586.47</v>
      </c>
      <c r="U175" s="277">
        <v>0</v>
      </c>
      <c r="V175" s="279" t="str">
        <f t="shared" ref="V175" si="106">IF(U175=0,"NA",(+T175-U175)/U175)</f>
        <v>NA</v>
      </c>
      <c r="W175" s="281" t="s">
        <v>218</v>
      </c>
      <c r="X175" s="65"/>
    </row>
    <row r="176" spans="1:24">
      <c r="C176" s="285" t="s">
        <v>229</v>
      </c>
      <c r="D176" s="295"/>
      <c r="E176" s="296"/>
      <c r="F176" s="297"/>
      <c r="G176" s="297"/>
      <c r="H176" s="297"/>
      <c r="I176" s="297"/>
      <c r="J176" s="297"/>
      <c r="K176" s="297"/>
      <c r="L176" s="297"/>
      <c r="M176" s="297"/>
      <c r="N176" s="285"/>
      <c r="O176" s="303">
        <v>0</v>
      </c>
      <c r="P176" s="303">
        <v>0</v>
      </c>
      <c r="Q176" s="283">
        <f t="shared" ref="Q176" si="107">+O176-P176</f>
        <v>0</v>
      </c>
      <c r="R176" s="284" t="str">
        <f t="shared" ref="R176" si="108">IF(P176=0,"NA",(+O176-P176)/P176)</f>
        <v>NA</v>
      </c>
      <c r="S176" s="285"/>
      <c r="T176" s="282">
        <v>148.38</v>
      </c>
      <c r="U176" s="282">
        <v>0</v>
      </c>
      <c r="V176" s="284" t="str">
        <f t="shared" ref="V176" si="109">IF(U176=0,"NA",(+T176-U176)/U176)</f>
        <v>NA</v>
      </c>
      <c r="W176" s="286"/>
      <c r="X176" s="65"/>
    </row>
    <row r="177" spans="1:24" ht="43.5">
      <c r="A177" s="47">
        <v>156</v>
      </c>
      <c r="C177" s="285" t="s">
        <v>167</v>
      </c>
      <c r="D177" s="295"/>
      <c r="E177" s="296"/>
      <c r="F177" s="297"/>
      <c r="G177" s="297"/>
      <c r="H177" s="297"/>
      <c r="I177" s="297"/>
      <c r="J177" s="297"/>
      <c r="K177" s="297"/>
      <c r="L177" s="297"/>
      <c r="M177" s="297"/>
      <c r="N177" s="285"/>
      <c r="O177" s="303">
        <v>12000</v>
      </c>
      <c r="P177" s="303">
        <v>24378</v>
      </c>
      <c r="Q177" s="283">
        <f t="shared" ref="Q177:Q180" si="110">+O177-P177</f>
        <v>-12378</v>
      </c>
      <c r="R177" s="284">
        <f t="shared" ref="R177:R181" si="111">IF(P177=0,"NA",(+O177-P177)/P177)</f>
        <v>-0.50775289195175977</v>
      </c>
      <c r="S177" s="285"/>
      <c r="T177" s="282">
        <v>0</v>
      </c>
      <c r="U177" s="282">
        <v>24378</v>
      </c>
      <c r="V177" s="284">
        <f t="shared" ref="V177:V181" si="112">IF(U177=0,"NA",(+T177-U177)/U177)</f>
        <v>-1</v>
      </c>
      <c r="W177" s="286" t="s">
        <v>300</v>
      </c>
      <c r="X177" s="65"/>
    </row>
    <row r="178" spans="1:24" ht="29">
      <c r="A178" s="47">
        <v>157</v>
      </c>
      <c r="C178" s="285" t="s">
        <v>173</v>
      </c>
      <c r="D178" s="295"/>
      <c r="E178" s="296"/>
      <c r="F178" s="297"/>
      <c r="G178" s="297"/>
      <c r="H178" s="297"/>
      <c r="I178" s="297"/>
      <c r="J178" s="297"/>
      <c r="K178" s="297"/>
      <c r="L178" s="297"/>
      <c r="M178" s="297"/>
      <c r="N178" s="285"/>
      <c r="O178" s="303">
        <f>215+302-100+104</f>
        <v>521</v>
      </c>
      <c r="P178" s="303">
        <v>5000</v>
      </c>
      <c r="Q178" s="283">
        <f t="shared" si="110"/>
        <v>-4479</v>
      </c>
      <c r="R178" s="284">
        <f t="shared" si="111"/>
        <v>-0.89580000000000004</v>
      </c>
      <c r="S178" s="285"/>
      <c r="T178" s="282">
        <v>0</v>
      </c>
      <c r="U178" s="282">
        <v>5000</v>
      </c>
      <c r="V178" s="284">
        <f t="shared" si="112"/>
        <v>-1</v>
      </c>
      <c r="W178" s="286" t="s">
        <v>299</v>
      </c>
      <c r="X178" s="66"/>
    </row>
    <row r="179" spans="1:24" ht="29">
      <c r="A179" s="47">
        <v>157</v>
      </c>
      <c r="C179" s="290" t="s">
        <v>217</v>
      </c>
      <c r="D179" s="298"/>
      <c r="E179" s="299"/>
      <c r="F179" s="300"/>
      <c r="G179" s="300"/>
      <c r="H179" s="300"/>
      <c r="I179" s="300"/>
      <c r="J179" s="300"/>
      <c r="K179" s="300"/>
      <c r="L179" s="300"/>
      <c r="M179" s="300"/>
      <c r="N179" s="290"/>
      <c r="O179" s="304">
        <v>0</v>
      </c>
      <c r="P179" s="304">
        <v>10000</v>
      </c>
      <c r="Q179" s="288">
        <f t="shared" ref="Q179" si="113">+O179-P179</f>
        <v>-10000</v>
      </c>
      <c r="R179" s="289">
        <f t="shared" ref="R179" si="114">IF(P179=0,"NA",(+O179-P179)/P179)</f>
        <v>-1</v>
      </c>
      <c r="S179" s="290"/>
      <c r="T179" s="287">
        <v>0</v>
      </c>
      <c r="U179" s="287">
        <v>10000</v>
      </c>
      <c r="V179" s="289">
        <f t="shared" ref="V179" si="115">IF(U179=0,"NA",(+T179-U179)/U179)</f>
        <v>-1</v>
      </c>
      <c r="W179" s="291" t="s">
        <v>219</v>
      </c>
      <c r="X179" s="66"/>
    </row>
    <row r="180" spans="1:24" hidden="1">
      <c r="A180" s="47">
        <v>158</v>
      </c>
      <c r="C180" s="1" t="s">
        <v>84</v>
      </c>
      <c r="O180" s="61">
        <v>0</v>
      </c>
      <c r="P180" s="61">
        <v>0</v>
      </c>
      <c r="Q180" s="40">
        <f t="shared" si="110"/>
        <v>0</v>
      </c>
      <c r="R180" s="6" t="str">
        <f t="shared" si="111"/>
        <v>NA</v>
      </c>
      <c r="T180" s="59">
        <v>0</v>
      </c>
      <c r="U180" s="59">
        <v>0</v>
      </c>
      <c r="V180" s="6" t="str">
        <f t="shared" si="112"/>
        <v>NA</v>
      </c>
      <c r="W180" s="69"/>
      <c r="X180" s="69" t="s">
        <v>150</v>
      </c>
    </row>
    <row r="181" spans="1:24" s="4" customFormat="1">
      <c r="A181" s="47">
        <v>159</v>
      </c>
      <c r="B181" s="31" t="s">
        <v>85</v>
      </c>
      <c r="C181" s="31"/>
      <c r="D181" s="31"/>
      <c r="E181" s="101"/>
      <c r="F181" s="101"/>
      <c r="G181" s="101"/>
      <c r="H181" s="101"/>
      <c r="I181" s="101"/>
      <c r="J181" s="101"/>
      <c r="K181" s="101"/>
      <c r="L181" s="101"/>
      <c r="M181" s="101"/>
      <c r="N181" s="31"/>
      <c r="O181" s="31">
        <f>SUM(O175:O180)</f>
        <v>12521</v>
      </c>
      <c r="P181" s="31">
        <f>SUM(P175:P180)</f>
        <v>39378</v>
      </c>
      <c r="Q181" s="31">
        <f>SUM(Q175:Q180)</f>
        <v>-26857</v>
      </c>
      <c r="R181" s="32">
        <f t="shared" si="111"/>
        <v>-0.68203057544821977</v>
      </c>
      <c r="T181" s="31">
        <f>SUM(T175:T180)</f>
        <v>50734.85</v>
      </c>
      <c r="U181" s="31">
        <f>SUM(U175:U180)</f>
        <v>39378</v>
      </c>
      <c r="V181" s="32">
        <f t="shared" si="112"/>
        <v>0.28840596272030061</v>
      </c>
      <c r="W181" s="84"/>
      <c r="X181" s="68"/>
    </row>
    <row r="182" spans="1:24" ht="7.5" customHeight="1">
      <c r="A182" s="47">
        <v>160</v>
      </c>
      <c r="D182" s="1"/>
      <c r="E182" s="42"/>
      <c r="R182" s="7"/>
      <c r="W182" s="82"/>
      <c r="X182" s="66"/>
    </row>
    <row r="183" spans="1:24">
      <c r="A183" s="47">
        <v>161</v>
      </c>
      <c r="B183" s="33" t="s">
        <v>86</v>
      </c>
      <c r="C183" s="34"/>
      <c r="D183" s="34"/>
      <c r="E183" s="102"/>
      <c r="F183" s="102"/>
      <c r="G183" s="102"/>
      <c r="H183" s="102"/>
      <c r="I183" s="102"/>
      <c r="J183" s="102"/>
      <c r="K183" s="102"/>
      <c r="L183" s="102"/>
      <c r="M183" s="102"/>
      <c r="N183" s="34"/>
      <c r="O183" s="33">
        <f>O30+O76+O150+O171+O181</f>
        <v>513300.32049999997</v>
      </c>
      <c r="P183" s="33">
        <f>+P76+P150+P171+P181+P30</f>
        <v>521499.84341041668</v>
      </c>
      <c r="Q183" s="33">
        <f>+Q76+Q150+Q171+Q181+Q30</f>
        <v>-8199.5229104166719</v>
      </c>
      <c r="R183" s="35">
        <f>IF(P183=0,"NA",(+O183-P183)/P183)</f>
        <v>-1.5722963322088175E-2</v>
      </c>
      <c r="T183" s="33">
        <f>+T76+T150+T171+T181+T30</f>
        <v>517220.70999999996</v>
      </c>
      <c r="U183" s="33">
        <f>+U76+U150+U171+U181+U30</f>
        <v>521500.52</v>
      </c>
      <c r="V183" s="35">
        <f>IF(U183=0,"NA",(+T183-U183)/U183)</f>
        <v>-8.206722401734241E-3</v>
      </c>
      <c r="W183" s="82"/>
      <c r="X183" s="66"/>
    </row>
    <row r="184" spans="1:24">
      <c r="A184" s="47">
        <v>162</v>
      </c>
      <c r="B184" s="33" t="s">
        <v>87</v>
      </c>
      <c r="C184" s="34"/>
      <c r="D184" s="34"/>
      <c r="E184" s="102"/>
      <c r="F184" s="102"/>
      <c r="G184" s="102"/>
      <c r="H184" s="102"/>
      <c r="I184" s="102"/>
      <c r="J184" s="102"/>
      <c r="K184" s="102"/>
      <c r="L184" s="102"/>
      <c r="M184" s="102"/>
      <c r="N184" s="34"/>
      <c r="O184" s="33">
        <f>ROUND(+O22-O183,0)</f>
        <v>0</v>
      </c>
      <c r="P184" s="33">
        <f>ROUND(+P22-P183,0)</f>
        <v>0</v>
      </c>
      <c r="Q184" s="33">
        <f>ROUND(+Q22-Q183,0)</f>
        <v>0</v>
      </c>
      <c r="R184" s="35" t="str">
        <f>IF(P184=0,"NA",(+O184-P184)/P184)</f>
        <v>NA</v>
      </c>
      <c r="T184" s="33">
        <f>+T22-T183</f>
        <v>-1.0099999999511056</v>
      </c>
      <c r="U184" s="33">
        <f>+U22-U183</f>
        <v>-0.52000000001862645</v>
      </c>
      <c r="V184" s="35">
        <f>IF(U184=0,"NA",(+T184-U184)/U184)</f>
        <v>0.94230769214409094</v>
      </c>
      <c r="W184" s="82"/>
      <c r="X184" s="66"/>
    </row>
    <row r="185" spans="1:24" ht="15" thickBot="1">
      <c r="R185" s="7"/>
      <c r="W185" s="82"/>
      <c r="X185" s="66"/>
    </row>
    <row r="186" spans="1:24">
      <c r="B186" s="115" t="s">
        <v>194</v>
      </c>
      <c r="C186" s="116"/>
      <c r="D186" s="116"/>
      <c r="E186" s="117"/>
      <c r="F186" s="117"/>
      <c r="G186" s="117"/>
      <c r="H186" s="117"/>
      <c r="I186" s="117"/>
      <c r="J186" s="117"/>
      <c r="K186" s="117"/>
      <c r="L186" s="117"/>
      <c r="M186" s="117"/>
      <c r="N186" s="116"/>
      <c r="O186" s="118">
        <f>+O22-O20</f>
        <v>513300</v>
      </c>
      <c r="P186" s="118">
        <f>+P22-P20</f>
        <v>521500</v>
      </c>
      <c r="Q186" s="119">
        <f t="shared" ref="Q186:Q188" si="116">+O186-P186</f>
        <v>-8200</v>
      </c>
      <c r="R186" s="120">
        <f t="shared" ref="R186:R188" si="117">IF(P186=0,"NA",(+O186-P186)/P186)</f>
        <v>-1.5723873441994246E-2</v>
      </c>
      <c r="S186" s="116"/>
      <c r="T186" s="118">
        <f>+T22-T20</f>
        <v>517219.7</v>
      </c>
      <c r="U186" s="118">
        <f>+U22-U20</f>
        <v>521500</v>
      </c>
      <c r="V186" s="121">
        <f t="shared" ref="V186:V188" si="118">IF(U186=0,"NA",(+T186-U186)/U186)</f>
        <v>-8.2076701821668045E-3</v>
      </c>
      <c r="W186" s="69" t="s">
        <v>249</v>
      </c>
      <c r="X186" s="66"/>
    </row>
    <row r="187" spans="1:24">
      <c r="B187" s="122" t="s">
        <v>176</v>
      </c>
      <c r="C187" s="110"/>
      <c r="D187" s="110"/>
      <c r="E187" s="111"/>
      <c r="F187" s="111"/>
      <c r="G187" s="111"/>
      <c r="H187" s="111"/>
      <c r="I187" s="111"/>
      <c r="J187" s="111"/>
      <c r="K187" s="111"/>
      <c r="L187" s="111"/>
      <c r="M187" s="111"/>
      <c r="N187" s="110"/>
      <c r="O187" s="112">
        <f>+O183-O181</f>
        <v>500779.32049999997</v>
      </c>
      <c r="P187" s="112">
        <f>+P183-P181</f>
        <v>482121.84341041668</v>
      </c>
      <c r="Q187" s="113">
        <f t="shared" si="116"/>
        <v>18657.477089583292</v>
      </c>
      <c r="R187" s="114">
        <f t="shared" si="117"/>
        <v>3.8698676163694809E-2</v>
      </c>
      <c r="S187" s="110"/>
      <c r="T187" s="112">
        <f>+T183-T181</f>
        <v>466485.86</v>
      </c>
      <c r="U187" s="112">
        <f>+U183-U181</f>
        <v>482122.52</v>
      </c>
      <c r="V187" s="123">
        <f t="shared" si="118"/>
        <v>-3.243295915735285E-2</v>
      </c>
      <c r="W187" s="82"/>
      <c r="X187" s="66"/>
    </row>
    <row r="188" spans="1:24" ht="15" thickBot="1">
      <c r="B188" s="124" t="s">
        <v>195</v>
      </c>
      <c r="C188" s="125"/>
      <c r="D188" s="125"/>
      <c r="E188" s="126"/>
      <c r="F188" s="126"/>
      <c r="G188" s="126"/>
      <c r="H188" s="127"/>
      <c r="I188" s="127"/>
      <c r="J188" s="127"/>
      <c r="K188" s="127"/>
      <c r="L188" s="127"/>
      <c r="M188" s="127"/>
      <c r="N188" s="125"/>
      <c r="O188" s="128">
        <f>+O186-O187</f>
        <v>12520.679500000027</v>
      </c>
      <c r="P188" s="128">
        <f>+P186-P187</f>
        <v>39378.156589583319</v>
      </c>
      <c r="Q188" s="129">
        <f t="shared" si="116"/>
        <v>-26857.477089583292</v>
      </c>
      <c r="R188" s="130">
        <f t="shared" si="117"/>
        <v>-0.68203997890261536</v>
      </c>
      <c r="S188" s="125"/>
      <c r="T188" s="128">
        <f>+T186-T187</f>
        <v>50733.840000000026</v>
      </c>
      <c r="U188" s="128">
        <f>+U186-U187</f>
        <v>39377.479999999981</v>
      </c>
      <c r="V188" s="131">
        <f t="shared" si="118"/>
        <v>0.2883973276095893</v>
      </c>
      <c r="W188" s="82"/>
      <c r="X188" s="66"/>
    </row>
    <row r="189" spans="1:24">
      <c r="R189" s="7"/>
      <c r="W189" s="66"/>
      <c r="X189" s="66"/>
    </row>
    <row r="190" spans="1:24">
      <c r="H190" s="103"/>
      <c r="I190" s="103"/>
      <c r="J190" s="103"/>
      <c r="K190" s="103"/>
      <c r="L190" s="103"/>
      <c r="M190" s="103"/>
      <c r="V190" s="1"/>
      <c r="W190" s="66"/>
      <c r="X190" s="66"/>
    </row>
    <row r="191" spans="1:24">
      <c r="R191" s="7"/>
      <c r="W191" s="66"/>
      <c r="X191" s="66"/>
    </row>
    <row r="192" spans="1:24">
      <c r="D192" s="85"/>
      <c r="E192" s="104"/>
      <c r="R192" s="7"/>
      <c r="W192" s="66"/>
      <c r="X192" s="66"/>
    </row>
    <row r="193" spans="1:24">
      <c r="R193" s="7"/>
      <c r="W193" s="66"/>
      <c r="X193" s="66"/>
    </row>
    <row r="194" spans="1:24">
      <c r="A194" s="1"/>
      <c r="B194" s="1"/>
      <c r="R194" s="7"/>
      <c r="V194" s="1"/>
      <c r="W194" s="74"/>
      <c r="X194" s="74"/>
    </row>
    <row r="195" spans="1:24">
      <c r="A195" s="1"/>
      <c r="B195" s="1"/>
      <c r="R195" s="7"/>
      <c r="V195" s="1"/>
      <c r="W195" s="74"/>
      <c r="X195" s="74"/>
    </row>
    <row r="196" spans="1:24">
      <c r="A196" s="1"/>
      <c r="B196" s="1"/>
      <c r="R196" s="7"/>
      <c r="V196" s="1"/>
      <c r="W196" s="74"/>
      <c r="X196" s="74"/>
    </row>
    <row r="197" spans="1:24">
      <c r="A197" s="1"/>
      <c r="B197" s="1"/>
      <c r="R197" s="7"/>
      <c r="V197" s="1"/>
      <c r="W197" s="74"/>
      <c r="X197" s="74"/>
    </row>
    <row r="198" spans="1:24">
      <c r="A198" s="1"/>
      <c r="B198" s="1"/>
      <c r="R198" s="7"/>
      <c r="V198" s="1"/>
      <c r="W198" s="74"/>
      <c r="X198" s="74"/>
    </row>
    <row r="199" spans="1:24">
      <c r="A199" s="1"/>
      <c r="B199" s="1"/>
      <c r="R199" s="7"/>
      <c r="V199" s="1"/>
      <c r="W199" s="74"/>
      <c r="X199" s="74"/>
    </row>
    <row r="200" spans="1:24">
      <c r="A200" s="1"/>
      <c r="B200" s="1"/>
      <c r="R200" s="7"/>
      <c r="V200" s="1"/>
      <c r="W200" s="74"/>
      <c r="X200" s="40"/>
    </row>
    <row r="201" spans="1:24">
      <c r="A201" s="1"/>
      <c r="B201" s="1"/>
      <c r="R201" s="7"/>
      <c r="V201" s="1"/>
      <c r="W201" s="74"/>
      <c r="X201" s="40"/>
    </row>
    <row r="202" spans="1:24">
      <c r="A202" s="1"/>
      <c r="B202" s="1"/>
      <c r="R202" s="7"/>
      <c r="V202" s="1"/>
      <c r="W202" s="74"/>
      <c r="X202" s="40"/>
    </row>
    <row r="203" spans="1:24">
      <c r="A203" s="1"/>
      <c r="B203" s="1"/>
      <c r="R203" s="7"/>
      <c r="V203" s="1"/>
      <c r="W203" s="74"/>
      <c r="X203" s="40"/>
    </row>
    <row r="204" spans="1:24">
      <c r="A204" s="1"/>
      <c r="B204" s="1"/>
      <c r="R204" s="7"/>
      <c r="V204" s="1"/>
      <c r="W204" s="74"/>
      <c r="X204" s="40"/>
    </row>
    <row r="205" spans="1:24">
      <c r="A205" s="1"/>
      <c r="B205" s="1"/>
      <c r="R205" s="7"/>
      <c r="V205" s="1"/>
      <c r="W205" s="74"/>
      <c r="X205" s="40"/>
    </row>
    <row r="206" spans="1:24">
      <c r="A206" s="1"/>
      <c r="B206" s="1"/>
      <c r="R206" s="7"/>
      <c r="V206" s="1"/>
      <c r="W206" s="74"/>
      <c r="X206" s="40"/>
    </row>
    <row r="207" spans="1:24">
      <c r="A207" s="1"/>
      <c r="B207" s="1"/>
      <c r="R207" s="7"/>
      <c r="V207" s="1"/>
      <c r="W207" s="75"/>
      <c r="X207" s="40"/>
    </row>
    <row r="208" spans="1:24">
      <c r="X208" s="40"/>
    </row>
    <row r="209" spans="24:24">
      <c r="X209" s="54"/>
    </row>
    <row r="210" spans="24:24">
      <c r="X210" s="54"/>
    </row>
    <row r="211" spans="24:24">
      <c r="X211" s="54"/>
    </row>
    <row r="212" spans="24:24">
      <c r="X212" s="54"/>
    </row>
    <row r="213" spans="24:24">
      <c r="X213" s="54"/>
    </row>
    <row r="214" spans="24:24">
      <c r="X214" s="54"/>
    </row>
    <row r="215" spans="24:24">
      <c r="X215" s="54"/>
    </row>
    <row r="216" spans="24:24">
      <c r="X216" s="54"/>
    </row>
    <row r="217" spans="24:24">
      <c r="X217" s="54"/>
    </row>
    <row r="218" spans="24:24">
      <c r="X218" s="54"/>
    </row>
    <row r="219" spans="24:24">
      <c r="X219" s="54"/>
    </row>
    <row r="220" spans="24:24">
      <c r="X220" s="54"/>
    </row>
    <row r="221" spans="24:24">
      <c r="X221" s="54"/>
    </row>
    <row r="222" spans="24:24">
      <c r="X222" s="54"/>
    </row>
    <row r="223" spans="24:24">
      <c r="X223" s="54"/>
    </row>
    <row r="224" spans="24:24">
      <c r="X224" s="54"/>
    </row>
    <row r="225" spans="24:24">
      <c r="X225" s="54"/>
    </row>
    <row r="226" spans="24:24">
      <c r="X226" s="54"/>
    </row>
    <row r="227" spans="24:24">
      <c r="X227" s="54"/>
    </row>
    <row r="228" spans="24:24">
      <c r="X228" s="54"/>
    </row>
    <row r="229" spans="24:24">
      <c r="X229" s="54"/>
    </row>
    <row r="230" spans="24:24">
      <c r="X230" s="54"/>
    </row>
    <row r="231" spans="24:24">
      <c r="X231" s="54"/>
    </row>
    <row r="232" spans="24:24">
      <c r="X232" s="54"/>
    </row>
    <row r="233" spans="24:24">
      <c r="X233" s="54"/>
    </row>
    <row r="234" spans="24:24">
      <c r="X234" s="54"/>
    </row>
    <row r="235" spans="24:24">
      <c r="X235" s="54"/>
    </row>
    <row r="236" spans="24:24">
      <c r="X236" s="54"/>
    </row>
  </sheetData>
  <mergeCells count="25">
    <mergeCell ref="B1:W1"/>
    <mergeCell ref="N78:N79"/>
    <mergeCell ref="O2:R2"/>
    <mergeCell ref="T2:V2"/>
    <mergeCell ref="Q3:R3"/>
    <mergeCell ref="T3:T4"/>
    <mergeCell ref="U3:U4"/>
    <mergeCell ref="V3:V4"/>
    <mergeCell ref="O3:O4"/>
    <mergeCell ref="P3:P4"/>
    <mergeCell ref="E75:H75"/>
    <mergeCell ref="E74:M74"/>
    <mergeCell ref="G79:H79"/>
    <mergeCell ref="G78:H78"/>
    <mergeCell ref="C167:D167"/>
    <mergeCell ref="E111:H111"/>
    <mergeCell ref="E131:H131"/>
    <mergeCell ref="I131:L131"/>
    <mergeCell ref="E130:N130"/>
    <mergeCell ref="L83:N83"/>
    <mergeCell ref="I111:N112"/>
    <mergeCell ref="C145:D145"/>
    <mergeCell ref="I75:L75"/>
    <mergeCell ref="C83:D83"/>
    <mergeCell ref="C126:D126"/>
  </mergeCells>
  <pageMargins left="0" right="0" top="0.25" bottom="0.5" header="0.3" footer="0.3"/>
  <pageSetup scale="72" fitToHeight="0" orientation="landscape" r:id="rId1"/>
  <headerFooter>
    <oddFooter>&amp;C&amp;P of &amp;N&amp;R&amp;D</oddFooter>
  </headerFooter>
  <rowBreaks count="3" manualBreakCount="3">
    <brk id="41" max="16383" man="1"/>
    <brk id="76" max="16383" man="1"/>
    <brk id="150" max="16383" man="1"/>
  </rowBreaks>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dimension ref="A1:J64"/>
  <sheetViews>
    <sheetView showGridLines="0" workbookViewId="0">
      <selection activeCell="A58" sqref="A58"/>
    </sheetView>
  </sheetViews>
  <sheetFormatPr defaultRowHeight="14.5"/>
  <cols>
    <col min="1" max="1" width="35" style="155" customWidth="1"/>
    <col min="2" max="2" width="10.453125" style="155" customWidth="1"/>
    <col min="3" max="3" width="10" style="155" customWidth="1"/>
    <col min="4" max="4" width="8.7265625" style="155"/>
    <col min="5" max="6" width="8.7265625" style="155" customWidth="1"/>
    <col min="7" max="8" width="13.90625" style="155" customWidth="1"/>
    <col min="9" max="16384" width="8.7265625" style="155"/>
  </cols>
  <sheetData>
    <row r="1" spans="1:8">
      <c r="B1" s="554">
        <v>2018</v>
      </c>
      <c r="C1" s="555"/>
      <c r="D1" s="555"/>
      <c r="E1" s="555"/>
      <c r="F1" s="556"/>
      <c r="G1" s="263" t="s">
        <v>253</v>
      </c>
      <c r="H1" s="156" t="s">
        <v>285</v>
      </c>
    </row>
    <row r="2" spans="1:8">
      <c r="A2" s="201"/>
      <c r="B2" s="202" t="s">
        <v>251</v>
      </c>
      <c r="C2" s="203" t="s">
        <v>199</v>
      </c>
      <c r="D2" s="203" t="s">
        <v>269</v>
      </c>
      <c r="E2" s="203" t="s">
        <v>283</v>
      </c>
      <c r="F2" s="204" t="s">
        <v>261</v>
      </c>
      <c r="G2" s="157"/>
      <c r="H2" s="205"/>
    </row>
    <row r="3" spans="1:8">
      <c r="A3" s="206" t="s">
        <v>45</v>
      </c>
      <c r="B3" s="207">
        <v>52894</v>
      </c>
      <c r="C3" s="138">
        <f>+B6-C5</f>
        <v>46762</v>
      </c>
      <c r="D3" s="138">
        <f>+B6-D5</f>
        <v>46762</v>
      </c>
      <c r="E3" s="138">
        <f>+B3</f>
        <v>52894</v>
      </c>
      <c r="F3" s="148"/>
      <c r="G3" s="158">
        <f>+B6-G5</f>
        <v>46322</v>
      </c>
      <c r="H3" s="208"/>
    </row>
    <row r="4" spans="1:8">
      <c r="A4" s="206"/>
      <c r="B4" s="209">
        <v>0.3</v>
      </c>
      <c r="C4" s="140"/>
      <c r="D4" s="140"/>
      <c r="E4" s="139">
        <v>0.3</v>
      </c>
      <c r="F4" s="210"/>
      <c r="G4" s="159"/>
      <c r="H4" s="211"/>
    </row>
    <row r="5" spans="1:8" ht="15" thickBot="1">
      <c r="A5" s="206" t="s">
        <v>198</v>
      </c>
      <c r="B5" s="212">
        <f>ROUND(+B3*B4,0)</f>
        <v>15868</v>
      </c>
      <c r="C5" s="142">
        <v>22000</v>
      </c>
      <c r="D5" s="142">
        <f>+C5</f>
        <v>22000</v>
      </c>
      <c r="E5" s="141">
        <f>ROUND(+E3*E4,0)</f>
        <v>15868</v>
      </c>
      <c r="F5" s="145"/>
      <c r="G5" s="160">
        <v>22440</v>
      </c>
      <c r="H5" s="213"/>
    </row>
    <row r="6" spans="1:8" ht="14.5" customHeight="1">
      <c r="A6" s="206" t="s">
        <v>200</v>
      </c>
      <c r="B6" s="214">
        <f>+B3+B5</f>
        <v>68762</v>
      </c>
      <c r="C6" s="215">
        <f>+C3+C5</f>
        <v>68762</v>
      </c>
      <c r="D6" s="215">
        <f>+D3+D5</f>
        <v>68762</v>
      </c>
      <c r="E6" s="215">
        <f>+E3+E5</f>
        <v>68762</v>
      </c>
      <c r="F6" s="216"/>
      <c r="G6" s="161">
        <f>+G3+G5</f>
        <v>68762</v>
      </c>
      <c r="H6" s="217"/>
    </row>
    <row r="7" spans="1:8">
      <c r="A7" s="218"/>
      <c r="B7" s="218"/>
      <c r="C7" s="219"/>
      <c r="D7" s="219"/>
      <c r="E7" s="219"/>
      <c r="F7" s="220"/>
      <c r="G7" s="159"/>
      <c r="H7" s="211"/>
    </row>
    <row r="8" spans="1:8">
      <c r="A8" s="206" t="s">
        <v>216</v>
      </c>
      <c r="B8" s="218"/>
      <c r="C8" s="143">
        <f>(23/24)</f>
        <v>0.95833333333333337</v>
      </c>
      <c r="D8" s="143">
        <f>(23/24)</f>
        <v>0.95833333333333337</v>
      </c>
      <c r="E8" s="143">
        <v>1</v>
      </c>
      <c r="F8" s="144">
        <v>1</v>
      </c>
      <c r="G8" s="152">
        <v>1</v>
      </c>
      <c r="H8" s="221"/>
    </row>
    <row r="9" spans="1:8">
      <c r="A9" s="218"/>
      <c r="B9" s="218"/>
      <c r="C9" s="219"/>
      <c r="D9" s="219"/>
      <c r="E9" s="219"/>
      <c r="F9" s="220"/>
      <c r="G9" s="159"/>
      <c r="H9" s="211"/>
    </row>
    <row r="10" spans="1:8">
      <c r="A10" s="206" t="s">
        <v>254</v>
      </c>
      <c r="B10" s="218"/>
      <c r="C10" s="222">
        <v>0</v>
      </c>
      <c r="D10" s="222">
        <v>0</v>
      </c>
      <c r="E10" s="222">
        <v>0</v>
      </c>
      <c r="F10" s="223">
        <v>0</v>
      </c>
      <c r="G10" s="164">
        <v>0.02</v>
      </c>
      <c r="H10" s="224"/>
    </row>
    <row r="11" spans="1:8">
      <c r="A11" s="225" t="s">
        <v>252</v>
      </c>
      <c r="B11" s="226"/>
      <c r="C11" s="227">
        <f>+C6*C8</f>
        <v>65896.916666666672</v>
      </c>
      <c r="D11" s="227">
        <f>+D6*D8</f>
        <v>65896.916666666672</v>
      </c>
      <c r="E11" s="227">
        <f>+E6*E8</f>
        <v>68762</v>
      </c>
      <c r="F11" s="228">
        <f>+C6*F8</f>
        <v>68762</v>
      </c>
      <c r="G11" s="165">
        <f>ROUND(+G6*(1+G10),0)</f>
        <v>70137</v>
      </c>
      <c r="H11" s="229"/>
    </row>
    <row r="12" spans="1:8">
      <c r="A12" s="218"/>
      <c r="B12" s="218"/>
      <c r="C12" s="219"/>
      <c r="D12" s="219"/>
      <c r="E12" s="219"/>
      <c r="F12" s="220"/>
      <c r="G12" s="159"/>
      <c r="H12" s="211"/>
    </row>
    <row r="13" spans="1:8">
      <c r="A13" s="553" t="s">
        <v>255</v>
      </c>
      <c r="B13" s="218"/>
      <c r="C13" s="219"/>
      <c r="D13" s="219"/>
      <c r="E13" s="219"/>
      <c r="F13" s="220"/>
      <c r="G13" s="159"/>
      <c r="H13" s="211"/>
    </row>
    <row r="14" spans="1:8">
      <c r="A14" s="553"/>
      <c r="B14" s="218"/>
      <c r="C14" s="138">
        <f>+C32</f>
        <v>0</v>
      </c>
      <c r="D14" s="138">
        <f>+D32</f>
        <v>0</v>
      </c>
      <c r="E14" s="138">
        <f>+E32</f>
        <v>8015</v>
      </c>
      <c r="F14" s="148">
        <f>+F32</f>
        <v>0</v>
      </c>
      <c r="G14" s="154">
        <f>+G32</f>
        <v>2600</v>
      </c>
      <c r="H14" s="230"/>
    </row>
    <row r="15" spans="1:8">
      <c r="A15" s="553"/>
      <c r="B15" s="218"/>
      <c r="C15" s="219"/>
      <c r="D15" s="219"/>
      <c r="E15" s="219"/>
      <c r="F15" s="220"/>
      <c r="G15" s="159"/>
      <c r="H15" s="211"/>
    </row>
    <row r="16" spans="1:8">
      <c r="A16" s="231"/>
      <c r="B16" s="218"/>
      <c r="C16" s="219"/>
      <c r="D16" s="219"/>
      <c r="E16" s="219"/>
      <c r="F16" s="220"/>
      <c r="G16" s="159"/>
      <c r="H16" s="211"/>
    </row>
    <row r="17" spans="1:10">
      <c r="A17" s="225" t="s">
        <v>252</v>
      </c>
      <c r="B17" s="226"/>
      <c r="C17" s="227">
        <f>+C11+C14</f>
        <v>65896.916666666672</v>
      </c>
      <c r="D17" s="227">
        <f>+D11+D14</f>
        <v>65896.916666666672</v>
      </c>
      <c r="E17" s="227">
        <f>+E11+E14</f>
        <v>76777</v>
      </c>
      <c r="F17" s="228">
        <f>+F11+F14</f>
        <v>68762</v>
      </c>
      <c r="G17" s="165">
        <f>+G11+G14</f>
        <v>72737</v>
      </c>
      <c r="H17" s="229">
        <f>50297+22440</f>
        <v>72737</v>
      </c>
    </row>
    <row r="18" spans="1:10">
      <c r="A18" s="218"/>
      <c r="B18" s="218"/>
      <c r="C18" s="219"/>
      <c r="D18" s="219"/>
      <c r="E18" s="219"/>
      <c r="F18" s="220"/>
      <c r="G18" s="159"/>
      <c r="H18" s="211"/>
    </row>
    <row r="19" spans="1:10">
      <c r="A19" s="218" t="s">
        <v>256</v>
      </c>
      <c r="B19" s="218"/>
      <c r="C19" s="146">
        <v>7.6499999999999999E-2</v>
      </c>
      <c r="D19" s="146">
        <v>7.6499999999999999E-2</v>
      </c>
      <c r="E19" s="146">
        <v>7.6499999999999999E-2</v>
      </c>
      <c r="F19" s="147">
        <v>7.6499999999999999E-2</v>
      </c>
      <c r="G19" s="153">
        <v>7.6499999999999999E-2</v>
      </c>
      <c r="H19" s="232">
        <v>7.6499999999999999E-2</v>
      </c>
    </row>
    <row r="20" spans="1:10">
      <c r="A20" s="218"/>
      <c r="B20" s="218"/>
      <c r="C20" s="219"/>
      <c r="D20" s="219"/>
      <c r="E20" s="219"/>
      <c r="F20" s="220"/>
      <c r="G20" s="159"/>
      <c r="H20" s="211"/>
    </row>
    <row r="21" spans="1:10">
      <c r="A21" s="218" t="s">
        <v>257</v>
      </c>
      <c r="B21" s="218"/>
      <c r="C21" s="138">
        <f t="shared" ref="C21:H21" si="0">+C17*C19</f>
        <v>5041.1141250000001</v>
      </c>
      <c r="D21" s="138">
        <f t="shared" si="0"/>
        <v>5041.1141250000001</v>
      </c>
      <c r="E21" s="138">
        <f t="shared" si="0"/>
        <v>5873.4404999999997</v>
      </c>
      <c r="F21" s="148">
        <f t="shared" si="0"/>
        <v>5260.2929999999997</v>
      </c>
      <c r="G21" s="154">
        <f t="shared" si="0"/>
        <v>5564.3805000000002</v>
      </c>
      <c r="H21" s="230">
        <f t="shared" si="0"/>
        <v>5564.3805000000002</v>
      </c>
      <c r="J21" s="162"/>
    </row>
    <row r="22" spans="1:10">
      <c r="A22" s="218"/>
      <c r="B22" s="218"/>
      <c r="C22" s="219"/>
      <c r="D22" s="219"/>
      <c r="E22" s="219"/>
      <c r="F22" s="220"/>
      <c r="G22" s="159"/>
      <c r="H22" s="211"/>
    </row>
    <row r="23" spans="1:10">
      <c r="A23" s="233" t="s">
        <v>258</v>
      </c>
      <c r="B23" s="234"/>
      <c r="C23" s="235">
        <f t="shared" ref="C23:H23" si="1">+C17+C21</f>
        <v>70938.030791666679</v>
      </c>
      <c r="D23" s="235">
        <f t="shared" si="1"/>
        <v>70938.030791666679</v>
      </c>
      <c r="E23" s="235">
        <f t="shared" si="1"/>
        <v>82650.440499999997</v>
      </c>
      <c r="F23" s="236">
        <f t="shared" si="1"/>
        <v>74022.293000000005</v>
      </c>
      <c r="G23" s="169">
        <f t="shared" si="1"/>
        <v>78301.380499999999</v>
      </c>
      <c r="H23" s="237">
        <f t="shared" si="1"/>
        <v>78301.380499999999</v>
      </c>
    </row>
    <row r="24" spans="1:10">
      <c r="A24" s="238"/>
      <c r="B24" s="238"/>
      <c r="C24" s="238"/>
      <c r="D24" s="238"/>
      <c r="E24" s="238"/>
      <c r="F24" s="238"/>
      <c r="G24" s="238"/>
      <c r="H24" s="238"/>
    </row>
    <row r="25" spans="1:10">
      <c r="A25" s="239" t="s">
        <v>265</v>
      </c>
      <c r="B25" s="201"/>
      <c r="C25" s="240"/>
      <c r="D25" s="240"/>
      <c r="E25" s="240"/>
      <c r="F25" s="241"/>
      <c r="G25" s="264"/>
      <c r="H25" s="241"/>
    </row>
    <row r="26" spans="1:10">
      <c r="A26" s="218" t="s">
        <v>259</v>
      </c>
      <c r="B26" s="218"/>
      <c r="C26" s="138">
        <f>6011.15*C8</f>
        <v>5760.6854166666662</v>
      </c>
      <c r="D26" s="138"/>
      <c r="E26" s="138">
        <f>6011.15*E8</f>
        <v>6011.15</v>
      </c>
      <c r="F26" s="148">
        <f>6011.15</f>
        <v>6011.15</v>
      </c>
      <c r="G26" s="149">
        <v>4973</v>
      </c>
      <c r="H26" s="145"/>
      <c r="J26" s="162"/>
    </row>
    <row r="27" spans="1:10">
      <c r="A27" s="218" t="s">
        <v>295</v>
      </c>
      <c r="B27" s="218"/>
      <c r="C27" s="137">
        <v>0</v>
      </c>
      <c r="D27" s="137">
        <v>0</v>
      </c>
      <c r="E27" s="137">
        <v>0</v>
      </c>
      <c r="F27" s="145">
        <v>0</v>
      </c>
      <c r="G27" s="149">
        <v>2600</v>
      </c>
      <c r="H27" s="145"/>
      <c r="J27" s="162"/>
    </row>
    <row r="28" spans="1:10">
      <c r="A28" s="218" t="s">
        <v>296</v>
      </c>
      <c r="B28" s="218"/>
      <c r="C28" s="138">
        <f>+C26+C27</f>
        <v>5760.6854166666662</v>
      </c>
      <c r="D28" s="138">
        <f t="shared" ref="D28:G28" si="2">+D26+D27</f>
        <v>0</v>
      </c>
      <c r="E28" s="138">
        <f t="shared" si="2"/>
        <v>6011.15</v>
      </c>
      <c r="F28" s="148">
        <f t="shared" si="2"/>
        <v>6011.15</v>
      </c>
      <c r="G28" s="151">
        <f t="shared" si="2"/>
        <v>7573</v>
      </c>
      <c r="H28" s="145"/>
      <c r="J28" s="162"/>
    </row>
    <row r="29" spans="1:10">
      <c r="A29" s="218" t="s">
        <v>260</v>
      </c>
      <c r="B29" s="218"/>
      <c r="C29" s="146">
        <v>0.25</v>
      </c>
      <c r="D29" s="146"/>
      <c r="E29" s="146">
        <v>0.25</v>
      </c>
      <c r="F29" s="147">
        <v>0.25</v>
      </c>
      <c r="G29" s="150">
        <v>0.25</v>
      </c>
      <c r="H29" s="147"/>
    </row>
    <row r="30" spans="1:10">
      <c r="A30" s="226" t="s">
        <v>262</v>
      </c>
      <c r="B30" s="226"/>
      <c r="C30" s="242">
        <f>+C28/(1-C29)</f>
        <v>7680.9138888888883</v>
      </c>
      <c r="D30" s="243">
        <v>8015</v>
      </c>
      <c r="E30" s="242">
        <f>ROUND(+E28/(1-E29),0)</f>
        <v>8015</v>
      </c>
      <c r="F30" s="244">
        <f>+F28/(1-F29)</f>
        <v>8014.8666666666659</v>
      </c>
      <c r="G30" s="265">
        <f>ROUND(+G28/(1-G29),0)</f>
        <v>10097</v>
      </c>
      <c r="H30" s="244"/>
    </row>
    <row r="31" spans="1:10">
      <c r="A31" s="218"/>
      <c r="B31" s="218"/>
      <c r="C31" s="138"/>
      <c r="D31" s="138"/>
      <c r="E31" s="138"/>
      <c r="F31" s="220"/>
      <c r="G31" s="163"/>
      <c r="H31" s="220"/>
    </row>
    <row r="32" spans="1:10">
      <c r="A32" s="218" t="s">
        <v>263</v>
      </c>
      <c r="B32" s="218"/>
      <c r="C32" s="137">
        <v>0</v>
      </c>
      <c r="D32" s="137">
        <v>0</v>
      </c>
      <c r="E32" s="137">
        <v>8015</v>
      </c>
      <c r="F32" s="145">
        <v>0</v>
      </c>
      <c r="G32" s="149">
        <v>2600</v>
      </c>
      <c r="H32" s="145"/>
    </row>
    <row r="33" spans="1:8">
      <c r="A33" s="234" t="s">
        <v>264</v>
      </c>
      <c r="B33" s="234"/>
      <c r="C33" s="245">
        <f>+C30-C32</f>
        <v>7680.9138888888883</v>
      </c>
      <c r="D33" s="245">
        <f>+D30-D32</f>
        <v>8015</v>
      </c>
      <c r="E33" s="245">
        <f>+E30-E32</f>
        <v>0</v>
      </c>
      <c r="F33" s="246">
        <f>+F30-F32</f>
        <v>8014.8666666666659</v>
      </c>
      <c r="G33" s="266">
        <f>+G30-G32</f>
        <v>7497</v>
      </c>
      <c r="H33" s="246"/>
    </row>
    <row r="34" spans="1:8">
      <c r="A34" s="238"/>
      <c r="B34" s="238"/>
      <c r="C34" s="238"/>
      <c r="D34" s="238"/>
      <c r="E34" s="238"/>
      <c r="F34" s="238"/>
      <c r="G34" s="238"/>
      <c r="H34" s="238"/>
    </row>
    <row r="35" spans="1:8">
      <c r="A35" s="239" t="s">
        <v>203</v>
      </c>
      <c r="B35" s="201"/>
      <c r="C35" s="247">
        <v>0.11</v>
      </c>
      <c r="D35" s="247">
        <v>0.11</v>
      </c>
      <c r="E35" s="247">
        <v>0.11</v>
      </c>
      <c r="F35" s="248">
        <v>0.11</v>
      </c>
      <c r="G35" s="196">
        <v>0.11</v>
      </c>
      <c r="H35" s="248"/>
    </row>
    <row r="36" spans="1:8">
      <c r="A36" s="218" t="s">
        <v>270</v>
      </c>
      <c r="B36" s="218"/>
      <c r="C36" s="177">
        <f>+C23</f>
        <v>70938.030791666679</v>
      </c>
      <c r="D36" s="177">
        <f t="shared" ref="D36:G36" si="3">+D23</f>
        <v>70938.030791666679</v>
      </c>
      <c r="E36" s="177">
        <f>+E23</f>
        <v>82650.440499999997</v>
      </c>
      <c r="F36" s="249">
        <f t="shared" si="3"/>
        <v>74022.293000000005</v>
      </c>
      <c r="G36" s="197">
        <f t="shared" si="3"/>
        <v>78301.380499999999</v>
      </c>
      <c r="H36" s="249"/>
    </row>
    <row r="37" spans="1:8">
      <c r="A37" s="218" t="s">
        <v>266</v>
      </c>
      <c r="B37" s="218"/>
      <c r="C37" s="177">
        <f>+C36*C35</f>
        <v>7803.1833870833343</v>
      </c>
      <c r="D37" s="250">
        <f>((+D36+D38)+(D19*D30))*D35</f>
        <v>8752.2796120833355</v>
      </c>
      <c r="E37" s="177">
        <f>+E36*E35</f>
        <v>9091.5484550000001</v>
      </c>
      <c r="F37" s="249">
        <f t="shared" ref="F37" si="4">+F36*F35</f>
        <v>8142.4522300000008</v>
      </c>
      <c r="G37" s="197">
        <f>ROUND(+G36*G35,0)</f>
        <v>8613</v>
      </c>
      <c r="H37" s="251">
        <v>8613</v>
      </c>
    </row>
    <row r="38" spans="1:8">
      <c r="A38" s="218" t="s">
        <v>267</v>
      </c>
      <c r="B38" s="218"/>
      <c r="C38" s="177">
        <f>+C33</f>
        <v>7680.9138888888883</v>
      </c>
      <c r="D38" s="177">
        <f>+D33</f>
        <v>8015</v>
      </c>
      <c r="E38" s="177">
        <f>+E33</f>
        <v>0</v>
      </c>
      <c r="F38" s="249">
        <f t="shared" ref="F38:G38" si="5">+F33</f>
        <v>8014.8666666666659</v>
      </c>
      <c r="G38" s="197">
        <f t="shared" si="5"/>
        <v>7497</v>
      </c>
      <c r="H38" s="251">
        <v>5090</v>
      </c>
    </row>
    <row r="39" spans="1:8">
      <c r="A39" s="226" t="s">
        <v>268</v>
      </c>
      <c r="B39" s="226"/>
      <c r="C39" s="252">
        <f>+C37+C38</f>
        <v>15484.097275972223</v>
      </c>
      <c r="D39" s="252">
        <f>+D37+D38</f>
        <v>16767.279612083337</v>
      </c>
      <c r="E39" s="252">
        <f>+E37+E38</f>
        <v>9091.5484550000001</v>
      </c>
      <c r="F39" s="253">
        <f t="shared" ref="F39:G39" si="6">+F37+F38</f>
        <v>16157.318896666668</v>
      </c>
      <c r="G39" s="199">
        <f t="shared" si="6"/>
        <v>16110</v>
      </c>
      <c r="H39" s="254">
        <f>+H37+H38</f>
        <v>13703</v>
      </c>
    </row>
    <row r="40" spans="1:8">
      <c r="A40" s="234" t="s">
        <v>278</v>
      </c>
      <c r="B40" s="234"/>
      <c r="C40" s="255">
        <f t="shared" ref="C40:F40" si="7">+C39/C36</f>
        <v>0.21827639001491975</v>
      </c>
      <c r="D40" s="255">
        <f t="shared" si="7"/>
        <v>0.23636516865440033</v>
      </c>
      <c r="E40" s="255">
        <f t="shared" si="7"/>
        <v>0.11</v>
      </c>
      <c r="F40" s="256">
        <f t="shared" si="7"/>
        <v>0.21827639001491977</v>
      </c>
      <c r="G40" s="200">
        <f>+G39/G36</f>
        <v>0.20574349899233257</v>
      </c>
      <c r="H40" s="256"/>
    </row>
    <row r="41" spans="1:8">
      <c r="A41" s="238"/>
      <c r="B41" s="238"/>
      <c r="C41" s="238"/>
      <c r="D41" s="238"/>
      <c r="E41" s="238"/>
      <c r="F41" s="238"/>
      <c r="G41" s="238"/>
      <c r="H41" s="238"/>
    </row>
    <row r="42" spans="1:8">
      <c r="A42" s="239" t="s">
        <v>277</v>
      </c>
      <c r="B42" s="201"/>
      <c r="C42" s="240"/>
      <c r="D42" s="240"/>
      <c r="E42" s="240"/>
      <c r="F42" s="241"/>
      <c r="G42" s="264"/>
      <c r="H42" s="241"/>
    </row>
    <row r="43" spans="1:8">
      <c r="A43" s="218" t="s">
        <v>206</v>
      </c>
      <c r="B43" s="218"/>
      <c r="C43" s="257">
        <v>0.03</v>
      </c>
      <c r="D43" s="257">
        <v>0.03</v>
      </c>
      <c r="E43" s="257">
        <v>0.03</v>
      </c>
      <c r="F43" s="258">
        <v>0.03</v>
      </c>
      <c r="G43" s="267">
        <v>2.5000000000000001E-2</v>
      </c>
      <c r="H43" s="258">
        <v>2.5000000000000001E-2</v>
      </c>
    </row>
    <row r="44" spans="1:8">
      <c r="A44" s="218" t="s">
        <v>207</v>
      </c>
      <c r="B44" s="218"/>
      <c r="C44" s="257">
        <v>3.0000000000000001E-3</v>
      </c>
      <c r="D44" s="257">
        <v>3.0000000000000001E-3</v>
      </c>
      <c r="E44" s="257">
        <v>3.0000000000000001E-3</v>
      </c>
      <c r="F44" s="258">
        <v>3.0000000000000001E-3</v>
      </c>
      <c r="G44" s="267">
        <v>2E-3</v>
      </c>
      <c r="H44" s="258">
        <v>2E-3</v>
      </c>
    </row>
    <row r="45" spans="1:8">
      <c r="A45" s="218" t="s">
        <v>208</v>
      </c>
      <c r="B45" s="218"/>
      <c r="C45" s="257">
        <v>7.0000000000000001E-3</v>
      </c>
      <c r="D45" s="257">
        <v>7.0000000000000001E-3</v>
      </c>
      <c r="E45" s="257">
        <v>7.0000000000000001E-3</v>
      </c>
      <c r="F45" s="258">
        <v>7.0000000000000001E-3</v>
      </c>
      <c r="G45" s="267">
        <v>7.0000000000000001E-3</v>
      </c>
      <c r="H45" s="258">
        <v>7.0000000000000001E-3</v>
      </c>
    </row>
    <row r="46" spans="1:8">
      <c r="A46" s="218" t="s">
        <v>280</v>
      </c>
      <c r="B46" s="218"/>
      <c r="C46" s="259">
        <f>+C43+C44+C45</f>
        <v>0.04</v>
      </c>
      <c r="D46" s="259">
        <f t="shared" ref="D46:H46" si="8">+D43+D44+D45</f>
        <v>0.04</v>
      </c>
      <c r="E46" s="259">
        <f t="shared" si="8"/>
        <v>0.04</v>
      </c>
      <c r="F46" s="260">
        <f t="shared" si="8"/>
        <v>0.04</v>
      </c>
      <c r="G46" s="268">
        <f t="shared" si="8"/>
        <v>3.4000000000000002E-2</v>
      </c>
      <c r="H46" s="260">
        <f t="shared" si="8"/>
        <v>3.4000000000000002E-2</v>
      </c>
    </row>
    <row r="47" spans="1:8">
      <c r="A47" s="218" t="s">
        <v>270</v>
      </c>
      <c r="B47" s="218"/>
      <c r="C47" s="177">
        <f>+C23</f>
        <v>70938.030791666679</v>
      </c>
      <c r="D47" s="177">
        <f t="shared" ref="D47:G47" si="9">+D23</f>
        <v>70938.030791666679</v>
      </c>
      <c r="E47" s="177">
        <f t="shared" ref="E47" si="10">+E23</f>
        <v>82650.440499999997</v>
      </c>
      <c r="F47" s="249">
        <f t="shared" si="9"/>
        <v>74022.293000000005</v>
      </c>
      <c r="G47" s="197">
        <f t="shared" si="9"/>
        <v>78301.380499999999</v>
      </c>
      <c r="H47" s="249">
        <f t="shared" ref="H47" si="11">+H23</f>
        <v>78301.380499999999</v>
      </c>
    </row>
    <row r="48" spans="1:8" ht="43.5">
      <c r="A48" s="261" t="s">
        <v>284</v>
      </c>
      <c r="B48" s="218"/>
      <c r="C48" s="177">
        <f>+C30</f>
        <v>7680.9138888888883</v>
      </c>
      <c r="D48" s="177">
        <f t="shared" ref="D48:F48" si="12">+D30</f>
        <v>8015</v>
      </c>
      <c r="E48" s="262">
        <v>0</v>
      </c>
      <c r="F48" s="249">
        <f t="shared" si="12"/>
        <v>8014.8666666666659</v>
      </c>
      <c r="G48" s="198">
        <v>0</v>
      </c>
      <c r="H48" s="251">
        <v>0</v>
      </c>
    </row>
    <row r="49" spans="1:10" ht="29">
      <c r="A49" s="261" t="s">
        <v>282</v>
      </c>
      <c r="B49" s="218"/>
      <c r="C49" s="177">
        <f>+C33*C19</f>
        <v>587.58991249999997</v>
      </c>
      <c r="D49" s="177">
        <f t="shared" ref="D49:F49" si="13">+D33*D19</f>
        <v>613.14750000000004</v>
      </c>
      <c r="E49" s="177">
        <f t="shared" ref="E49" si="14">+E33*E19</f>
        <v>0</v>
      </c>
      <c r="F49" s="249">
        <f t="shared" si="13"/>
        <v>613.13729999999998</v>
      </c>
      <c r="G49" s="197"/>
      <c r="H49" s="249"/>
    </row>
    <row r="50" spans="1:10">
      <c r="A50" s="174" t="s">
        <v>281</v>
      </c>
      <c r="B50" s="174"/>
      <c r="C50" s="175">
        <f>SUM(C47:C49)</f>
        <v>79206.534593055563</v>
      </c>
      <c r="D50" s="175">
        <f t="shared" ref="D50:H50" si="15">SUM(D47:D49)</f>
        <v>79566.178291666685</v>
      </c>
      <c r="E50" s="175">
        <f t="shared" si="15"/>
        <v>82650.440499999997</v>
      </c>
      <c r="F50" s="176">
        <f t="shared" si="15"/>
        <v>82650.296966666676</v>
      </c>
      <c r="G50" s="197">
        <f t="shared" si="15"/>
        <v>78301.380499999999</v>
      </c>
      <c r="H50" s="176">
        <f t="shared" si="15"/>
        <v>78301.380499999999</v>
      </c>
    </row>
    <row r="51" spans="1:10">
      <c r="A51" s="180" t="s">
        <v>279</v>
      </c>
      <c r="B51" s="180"/>
      <c r="C51" s="181">
        <f>+C50*C46</f>
        <v>3168.2613837222225</v>
      </c>
      <c r="D51" s="181">
        <f>+D50*D46+1</f>
        <v>3183.6471316666675</v>
      </c>
      <c r="E51" s="181">
        <f>+E50*E46+1</f>
        <v>3307.0176200000001</v>
      </c>
      <c r="F51" s="182">
        <f>+F50*F46+1</f>
        <v>3307.0118786666671</v>
      </c>
      <c r="G51" s="168">
        <f>ROUND(+G50*G46,0)</f>
        <v>2662</v>
      </c>
      <c r="H51" s="182">
        <f t="shared" ref="H51" si="16">+H50*H46</f>
        <v>2662.2469370000003</v>
      </c>
    </row>
    <row r="52" spans="1:10">
      <c r="D52" s="162"/>
      <c r="E52" s="162"/>
    </row>
    <row r="53" spans="1:10">
      <c r="A53" s="170" t="s">
        <v>113</v>
      </c>
      <c r="B53" s="171"/>
      <c r="C53" s="184"/>
      <c r="D53" s="184"/>
      <c r="E53" s="184"/>
      <c r="F53" s="185"/>
      <c r="G53" s="269"/>
      <c r="H53" s="185"/>
    </row>
    <row r="54" spans="1:10">
      <c r="A54" s="174" t="s">
        <v>286</v>
      </c>
      <c r="B54" s="174"/>
      <c r="C54" s="178">
        <v>1500</v>
      </c>
      <c r="D54" s="178">
        <v>1500</v>
      </c>
      <c r="E54" s="178">
        <v>1500</v>
      </c>
      <c r="F54" s="179">
        <v>1500</v>
      </c>
      <c r="G54" s="270">
        <v>1500</v>
      </c>
      <c r="H54" s="179">
        <v>1500</v>
      </c>
    </row>
    <row r="55" spans="1:10">
      <c r="A55" s="174" t="s">
        <v>287</v>
      </c>
      <c r="B55" s="174"/>
      <c r="C55" s="178">
        <v>1000</v>
      </c>
      <c r="D55" s="178">
        <v>1000</v>
      </c>
      <c r="E55" s="178">
        <v>1000</v>
      </c>
      <c r="F55" s="179">
        <v>1000</v>
      </c>
      <c r="G55" s="270">
        <v>1000</v>
      </c>
      <c r="H55" s="179">
        <v>700</v>
      </c>
      <c r="I55" s="183"/>
    </row>
    <row r="56" spans="1:10">
      <c r="A56" s="174" t="s">
        <v>113</v>
      </c>
      <c r="B56" s="174"/>
      <c r="C56" s="178">
        <v>600</v>
      </c>
      <c r="D56" s="178">
        <v>600</v>
      </c>
      <c r="E56" s="178">
        <v>600</v>
      </c>
      <c r="F56" s="179">
        <v>600</v>
      </c>
      <c r="G56" s="270">
        <v>600</v>
      </c>
      <c r="H56" s="179">
        <v>600</v>
      </c>
    </row>
    <row r="57" spans="1:10">
      <c r="A57" s="186" t="s">
        <v>311</v>
      </c>
      <c r="B57" s="186"/>
      <c r="C57" s="187"/>
      <c r="D57" s="187"/>
      <c r="E57" s="187"/>
      <c r="F57" s="188"/>
      <c r="G57" s="275">
        <f>40*12</f>
        <v>480</v>
      </c>
      <c r="H57" s="276">
        <f>25*12</f>
        <v>300</v>
      </c>
    </row>
    <row r="58" spans="1:10">
      <c r="A58" s="189" t="s">
        <v>289</v>
      </c>
      <c r="B58" s="189"/>
      <c r="C58" s="190">
        <f>+SUM(C54:C57)</f>
        <v>3100</v>
      </c>
      <c r="D58" s="190">
        <f t="shared" ref="D58:H58" si="17">+SUM(D54:D57)</f>
        <v>3100</v>
      </c>
      <c r="E58" s="190">
        <f t="shared" si="17"/>
        <v>3100</v>
      </c>
      <c r="F58" s="191">
        <f t="shared" si="17"/>
        <v>3100</v>
      </c>
      <c r="G58" s="271">
        <f t="shared" si="17"/>
        <v>3580</v>
      </c>
      <c r="H58" s="191">
        <f t="shared" si="17"/>
        <v>3100</v>
      </c>
    </row>
    <row r="60" spans="1:10">
      <c r="A60" s="192" t="s">
        <v>288</v>
      </c>
      <c r="B60" s="192"/>
      <c r="C60" s="193">
        <f>+C23+C39+C51+C58</f>
        <v>92690.389451361116</v>
      </c>
      <c r="D60" s="193">
        <f t="shared" ref="D60:H60" si="18">+D23+D39+D51+D58</f>
        <v>93988.957535416688</v>
      </c>
      <c r="E60" s="193">
        <f t="shared" si="18"/>
        <v>98149.006574999992</v>
      </c>
      <c r="F60" s="194">
        <f t="shared" si="18"/>
        <v>96586.623775333341</v>
      </c>
      <c r="G60" s="195">
        <f t="shared" si="18"/>
        <v>100653.3805</v>
      </c>
      <c r="H60" s="194">
        <f t="shared" si="18"/>
        <v>97766.627437000003</v>
      </c>
      <c r="J60" s="162"/>
    </row>
    <row r="61" spans="1:10">
      <c r="A61" s="274"/>
      <c r="B61" s="274"/>
      <c r="C61" s="252"/>
      <c r="D61" s="252"/>
      <c r="E61" s="252"/>
      <c r="F61" s="252"/>
      <c r="G61" s="252"/>
      <c r="H61" s="252"/>
    </row>
    <row r="62" spans="1:10">
      <c r="A62" s="171"/>
      <c r="B62" s="172"/>
      <c r="C62" s="172" t="s">
        <v>291</v>
      </c>
      <c r="D62" s="172"/>
      <c r="E62" s="172"/>
      <c r="F62" s="172"/>
      <c r="G62" s="172"/>
      <c r="H62" s="173"/>
    </row>
    <row r="63" spans="1:10">
      <c r="A63" s="166" t="s">
        <v>292</v>
      </c>
      <c r="B63" s="273"/>
      <c r="C63" s="167">
        <f>+C60-C21</f>
        <v>87649.275326361123</v>
      </c>
      <c r="D63" s="167">
        <f>+D60-D21</f>
        <v>88947.843410416681</v>
      </c>
      <c r="E63" s="167">
        <f>+E60-E21</f>
        <v>92275.566074999995</v>
      </c>
      <c r="F63" s="167">
        <f t="shared" ref="F63:H63" si="19">+F60-F21</f>
        <v>91326.330775333336</v>
      </c>
      <c r="G63" s="167">
        <f t="shared" si="19"/>
        <v>95089</v>
      </c>
      <c r="H63" s="168">
        <f t="shared" si="19"/>
        <v>92202.246937000004</v>
      </c>
    </row>
    <row r="64" spans="1:10">
      <c r="G64" s="272"/>
    </row>
  </sheetData>
  <mergeCells count="2">
    <mergeCell ref="A13:A15"/>
    <mergeCell ref="B1:F1"/>
  </mergeCells>
  <pageMargins left="0.7" right="0.7" top="0.75" bottom="0.75" header="0.3" footer="0.3"/>
  <pageSetup orientation="landscape" horizontalDpi="0" verticalDpi="0" r:id="rId1"/>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N92"/>
  <sheetViews>
    <sheetView showGridLines="0" topLeftCell="A68" workbookViewId="0">
      <selection sqref="A1:L75"/>
    </sheetView>
  </sheetViews>
  <sheetFormatPr defaultRowHeight="14.5"/>
  <cols>
    <col min="1" max="1" width="7.453125" style="155" customWidth="1"/>
    <col min="2" max="2" width="39.26953125" style="155" customWidth="1"/>
    <col min="3" max="3" width="12.08984375" style="155" bestFit="1" customWidth="1"/>
    <col min="4" max="4" width="4" style="155" customWidth="1"/>
    <col min="5" max="5" width="4.54296875" style="155" customWidth="1"/>
    <col min="6" max="6" width="4" style="155" customWidth="1"/>
    <col min="7" max="7" width="4.54296875" style="155" customWidth="1"/>
    <col min="8" max="8" width="4" style="155" customWidth="1"/>
    <col min="9" max="9" width="4.54296875" style="155" customWidth="1"/>
    <col min="10" max="10" width="4" style="155" customWidth="1"/>
    <col min="11" max="11" width="4.54296875" style="155" customWidth="1"/>
    <col min="12" max="16384" width="8.7265625" style="155"/>
  </cols>
  <sheetData>
    <row r="1" spans="1:14" ht="21">
      <c r="A1" s="559" t="s">
        <v>378</v>
      </c>
      <c r="B1" s="559"/>
      <c r="C1" s="559"/>
      <c r="D1" s="559"/>
      <c r="E1" s="559"/>
      <c r="F1" s="559"/>
      <c r="G1" s="559"/>
      <c r="H1" s="559"/>
      <c r="I1" s="559"/>
      <c r="J1" s="559"/>
      <c r="K1" s="559"/>
      <c r="L1" s="559"/>
    </row>
    <row r="2" spans="1:14" ht="18.5">
      <c r="A2" s="560" t="s">
        <v>384</v>
      </c>
      <c r="B2" s="560"/>
      <c r="C2" s="560"/>
      <c r="D2" s="560"/>
      <c r="E2" s="560"/>
      <c r="F2" s="560"/>
      <c r="G2" s="560"/>
      <c r="H2" s="560"/>
      <c r="I2" s="560"/>
      <c r="J2" s="560"/>
      <c r="K2" s="560"/>
      <c r="L2" s="560"/>
    </row>
    <row r="3" spans="1:14" ht="15" thickBot="1"/>
    <row r="4" spans="1:14" ht="15" thickTop="1">
      <c r="A4" s="431" t="s">
        <v>316</v>
      </c>
      <c r="B4" s="432"/>
      <c r="C4" s="432"/>
      <c r="D4" s="432"/>
      <c r="E4" s="432"/>
      <c r="F4" s="432"/>
      <c r="G4" s="432"/>
      <c r="H4" s="432"/>
      <c r="I4" s="432"/>
      <c r="J4" s="432"/>
      <c r="K4" s="432"/>
      <c r="L4" s="433"/>
    </row>
    <row r="5" spans="1:14">
      <c r="A5" s="434"/>
      <c r="B5" s="379" t="s">
        <v>52</v>
      </c>
      <c r="C5" s="380">
        <v>15624</v>
      </c>
      <c r="D5" s="384"/>
      <c r="E5" s="379"/>
      <c r="F5" s="379"/>
      <c r="G5" s="379"/>
      <c r="H5" s="379"/>
      <c r="I5" s="379"/>
      <c r="J5" s="379"/>
      <c r="K5" s="379"/>
      <c r="L5" s="388"/>
    </row>
    <row r="6" spans="1:14">
      <c r="A6" s="434"/>
      <c r="B6" s="379" t="s">
        <v>177</v>
      </c>
      <c r="C6" s="380">
        <v>5208</v>
      </c>
      <c r="D6" s="379"/>
      <c r="E6" s="379"/>
      <c r="F6" s="379"/>
      <c r="G6" s="379"/>
      <c r="H6" s="379"/>
      <c r="I6" s="379"/>
      <c r="J6" s="379"/>
      <c r="K6" s="379"/>
      <c r="L6" s="388"/>
    </row>
    <row r="7" spans="1:14">
      <c r="A7" s="434"/>
      <c r="B7" s="379" t="s">
        <v>319</v>
      </c>
      <c r="C7" s="380">
        <v>1000</v>
      </c>
      <c r="D7" s="379" t="s">
        <v>320</v>
      </c>
      <c r="E7" s="379"/>
      <c r="F7" s="379"/>
      <c r="G7" s="379"/>
      <c r="H7" s="379"/>
      <c r="I7" s="379"/>
      <c r="J7" s="379"/>
      <c r="K7" s="379"/>
      <c r="L7" s="388"/>
    </row>
    <row r="8" spans="1:14">
      <c r="A8" s="434"/>
      <c r="B8" s="379" t="s">
        <v>123</v>
      </c>
      <c r="C8" s="380">
        <v>1000</v>
      </c>
      <c r="D8" s="379"/>
      <c r="E8" s="379"/>
      <c r="F8" s="379"/>
      <c r="G8" s="379"/>
      <c r="H8" s="379"/>
      <c r="I8" s="379"/>
      <c r="J8" s="379"/>
      <c r="K8" s="379"/>
      <c r="L8" s="388"/>
    </row>
    <row r="9" spans="1:14">
      <c r="A9" s="434"/>
      <c r="B9" s="379" t="s">
        <v>112</v>
      </c>
      <c r="C9" s="380">
        <v>900</v>
      </c>
      <c r="D9" s="379"/>
      <c r="E9" s="379"/>
      <c r="F9" s="379"/>
      <c r="G9" s="379"/>
      <c r="H9" s="379"/>
      <c r="I9" s="379"/>
      <c r="J9" s="379"/>
      <c r="K9" s="379"/>
      <c r="L9" s="388"/>
    </row>
    <row r="10" spans="1:14" ht="15" thickBot="1">
      <c r="A10" s="435" t="s">
        <v>200</v>
      </c>
      <c r="B10" s="408"/>
      <c r="C10" s="407">
        <f>SUM(C5:C9)</f>
        <v>23732</v>
      </c>
      <c r="D10" s="408"/>
      <c r="E10" s="408"/>
      <c r="F10" s="408"/>
      <c r="G10" s="408"/>
      <c r="H10" s="408"/>
      <c r="I10" s="408"/>
      <c r="J10" s="408"/>
      <c r="K10" s="408"/>
      <c r="L10" s="409"/>
    </row>
    <row r="11" spans="1:14" ht="15.5" thickTop="1" thickBot="1"/>
    <row r="12" spans="1:14" ht="15" thickTop="1">
      <c r="A12" s="431" t="s">
        <v>328</v>
      </c>
      <c r="B12" s="432"/>
      <c r="C12" s="432"/>
      <c r="D12" s="432"/>
      <c r="E12" s="432"/>
      <c r="F12" s="432"/>
      <c r="G12" s="432"/>
      <c r="H12" s="432"/>
      <c r="I12" s="432"/>
      <c r="J12" s="432"/>
      <c r="K12" s="432"/>
      <c r="L12" s="433"/>
    </row>
    <row r="13" spans="1:14">
      <c r="A13" s="434"/>
      <c r="B13" s="379"/>
      <c r="C13" s="379"/>
      <c r="D13" s="436">
        <v>4</v>
      </c>
      <c r="E13" s="379" t="s">
        <v>335</v>
      </c>
      <c r="F13" s="436">
        <v>4</v>
      </c>
      <c r="G13" s="379" t="s">
        <v>338</v>
      </c>
      <c r="H13" s="436">
        <v>4</v>
      </c>
      <c r="I13" s="379" t="s">
        <v>333</v>
      </c>
      <c r="J13" s="436">
        <v>4</v>
      </c>
      <c r="K13" s="379" t="s">
        <v>340</v>
      </c>
      <c r="L13" s="388"/>
    </row>
    <row r="14" spans="1:14">
      <c r="A14" s="434"/>
      <c r="B14" s="379"/>
      <c r="C14" s="379"/>
      <c r="D14" s="436">
        <v>4</v>
      </c>
      <c r="E14" s="379" t="s">
        <v>336</v>
      </c>
      <c r="F14" s="436">
        <v>4</v>
      </c>
      <c r="G14" s="379" t="s">
        <v>331</v>
      </c>
      <c r="H14" s="436">
        <v>4</v>
      </c>
      <c r="I14" s="379" t="s">
        <v>339</v>
      </c>
      <c r="J14" s="436">
        <v>4</v>
      </c>
      <c r="K14" s="379" t="s">
        <v>341</v>
      </c>
      <c r="L14" s="388"/>
    </row>
    <row r="15" spans="1:14">
      <c r="A15" s="439" t="s">
        <v>329</v>
      </c>
      <c r="B15" s="440" t="s">
        <v>330</v>
      </c>
      <c r="C15" s="441">
        <f>+SUM(D13:D15)+SUM(F13:F15)+SUM(H13:H15)+SUM(J13:J15)</f>
        <v>52</v>
      </c>
      <c r="D15" s="442">
        <v>5</v>
      </c>
      <c r="E15" s="440" t="s">
        <v>337</v>
      </c>
      <c r="F15" s="442">
        <v>5</v>
      </c>
      <c r="G15" s="440" t="s">
        <v>332</v>
      </c>
      <c r="H15" s="442">
        <v>5</v>
      </c>
      <c r="I15" s="440" t="s">
        <v>334</v>
      </c>
      <c r="J15" s="442">
        <v>5</v>
      </c>
      <c r="K15" s="440" t="s">
        <v>342</v>
      </c>
      <c r="L15" s="443"/>
    </row>
    <row r="16" spans="1:14">
      <c r="A16" s="444"/>
      <c r="B16" s="445" t="s">
        <v>343</v>
      </c>
      <c r="C16" s="446">
        <v>4</v>
      </c>
      <c r="D16" s="445"/>
      <c r="E16" s="445"/>
      <c r="F16" s="445"/>
      <c r="G16" s="445"/>
      <c r="H16" s="445"/>
      <c r="I16" s="445"/>
      <c r="J16" s="445"/>
      <c r="K16" s="445"/>
      <c r="L16" s="447"/>
      <c r="N16" s="155" t="s">
        <v>406</v>
      </c>
    </row>
    <row r="17" spans="1:12">
      <c r="A17" s="444"/>
      <c r="B17" s="445" t="s">
        <v>344</v>
      </c>
      <c r="C17" s="446">
        <v>6</v>
      </c>
      <c r="D17" s="445"/>
      <c r="E17" s="445"/>
      <c r="F17" s="445"/>
      <c r="G17" s="445"/>
      <c r="H17" s="445"/>
      <c r="I17" s="445"/>
      <c r="J17" s="445"/>
      <c r="K17" s="445"/>
      <c r="L17" s="447"/>
    </row>
    <row r="18" spans="1:12">
      <c r="A18" s="448"/>
      <c r="B18" s="449" t="s">
        <v>345</v>
      </c>
      <c r="C18" s="450">
        <v>1</v>
      </c>
      <c r="D18" s="449"/>
      <c r="E18" s="449"/>
      <c r="F18" s="449"/>
      <c r="G18" s="449"/>
      <c r="H18" s="449"/>
      <c r="I18" s="449"/>
      <c r="J18" s="449"/>
      <c r="K18" s="449"/>
      <c r="L18" s="451"/>
    </row>
    <row r="19" spans="1:12" ht="15" thickBot="1">
      <c r="A19" s="437"/>
      <c r="B19" s="404" t="s">
        <v>347</v>
      </c>
      <c r="C19" s="438">
        <v>15</v>
      </c>
      <c r="D19" s="404" t="s">
        <v>346</v>
      </c>
      <c r="E19" s="404"/>
      <c r="F19" s="404"/>
      <c r="G19" s="404"/>
      <c r="H19" s="404"/>
      <c r="I19" s="404"/>
      <c r="J19" s="404"/>
      <c r="K19" s="404"/>
      <c r="L19" s="405"/>
    </row>
    <row r="20" spans="1:12" ht="15" thickTop="1"/>
    <row r="21" spans="1:12" ht="21.5" thickBot="1">
      <c r="A21" s="452" t="s">
        <v>317</v>
      </c>
    </row>
    <row r="22" spans="1:12" ht="78" customHeight="1" thickTop="1" thickBot="1">
      <c r="A22" s="410" t="s">
        <v>318</v>
      </c>
      <c r="B22" s="411"/>
      <c r="C22" s="430">
        <v>3000</v>
      </c>
      <c r="D22" s="411"/>
      <c r="E22" s="557" t="s">
        <v>392</v>
      </c>
      <c r="F22" s="557"/>
      <c r="G22" s="557"/>
      <c r="H22" s="557"/>
      <c r="I22" s="557"/>
      <c r="J22" s="557"/>
      <c r="K22" s="557"/>
      <c r="L22" s="558"/>
    </row>
    <row r="23" spans="1:12" ht="15.5" thickTop="1" thickBot="1">
      <c r="A23" s="382"/>
      <c r="B23" s="238"/>
      <c r="C23" s="383"/>
      <c r="D23" s="238"/>
      <c r="E23" s="238"/>
      <c r="F23" s="238"/>
      <c r="H23" s="238"/>
      <c r="J23" s="238"/>
    </row>
    <row r="24" spans="1:12" ht="15.5" thickTop="1" thickBot="1">
      <c r="A24" s="410" t="s">
        <v>356</v>
      </c>
      <c r="B24" s="411"/>
      <c r="C24" s="411"/>
      <c r="D24" s="411"/>
      <c r="E24" s="411"/>
      <c r="F24" s="411"/>
      <c r="G24" s="411"/>
      <c r="H24" s="411"/>
      <c r="I24" s="411"/>
      <c r="J24" s="411"/>
      <c r="K24" s="411"/>
      <c r="L24" s="412"/>
    </row>
    <row r="25" spans="1:12" ht="15" thickTop="1">
      <c r="A25" s="569" t="s">
        <v>358</v>
      </c>
      <c r="B25" s="415" t="s">
        <v>363</v>
      </c>
      <c r="C25" s="416">
        <f>+C15-C19</f>
        <v>37</v>
      </c>
      <c r="D25" s="417"/>
      <c r="E25" s="417" t="s">
        <v>391</v>
      </c>
      <c r="F25" s="418"/>
      <c r="G25" s="417"/>
      <c r="H25" s="418"/>
      <c r="I25" s="417"/>
      <c r="J25" s="418"/>
      <c r="K25" s="417"/>
      <c r="L25" s="419"/>
    </row>
    <row r="26" spans="1:12">
      <c r="A26" s="570"/>
      <c r="B26" s="378" t="s">
        <v>362</v>
      </c>
      <c r="C26" s="397">
        <v>1</v>
      </c>
      <c r="D26" s="385"/>
      <c r="E26" s="379"/>
      <c r="F26" s="414"/>
      <c r="G26" s="379"/>
      <c r="H26" s="414"/>
      <c r="I26" s="379"/>
      <c r="J26" s="414"/>
      <c r="K26" s="379"/>
      <c r="L26" s="388"/>
    </row>
    <row r="27" spans="1:12">
      <c r="A27" s="570"/>
      <c r="B27" s="389" t="s">
        <v>360</v>
      </c>
      <c r="C27" s="398">
        <f>+C25*C26</f>
        <v>37</v>
      </c>
      <c r="D27" s="390"/>
      <c r="E27" s="390"/>
      <c r="F27" s="420"/>
      <c r="G27" s="390"/>
      <c r="H27" s="420"/>
      <c r="I27" s="390"/>
      <c r="J27" s="420"/>
      <c r="K27" s="390"/>
      <c r="L27" s="392"/>
    </row>
    <row r="28" spans="1:12">
      <c r="A28" s="571"/>
      <c r="B28" s="386" t="s">
        <v>327</v>
      </c>
      <c r="C28" s="396"/>
      <c r="D28" s="172"/>
      <c r="E28" s="172"/>
      <c r="F28" s="240"/>
      <c r="G28" s="172"/>
      <c r="H28" s="240"/>
      <c r="I28" s="172"/>
      <c r="J28" s="240"/>
      <c r="K28" s="172"/>
      <c r="L28" s="387"/>
    </row>
    <row r="29" spans="1:12">
      <c r="A29" s="571"/>
      <c r="B29" s="378" t="s">
        <v>325</v>
      </c>
      <c r="C29" s="397">
        <v>0</v>
      </c>
      <c r="D29" s="379"/>
      <c r="E29" s="379" t="s">
        <v>348</v>
      </c>
      <c r="F29" s="219"/>
      <c r="G29" s="379"/>
      <c r="H29" s="219"/>
      <c r="I29" s="379"/>
      <c r="J29" s="219"/>
      <c r="K29" s="379"/>
      <c r="L29" s="388"/>
    </row>
    <row r="30" spans="1:12">
      <c r="A30" s="571"/>
      <c r="B30" s="389" t="s">
        <v>326</v>
      </c>
      <c r="C30" s="398">
        <f>+C17</f>
        <v>6</v>
      </c>
      <c r="D30" s="390"/>
      <c r="E30" s="390" t="s">
        <v>349</v>
      </c>
      <c r="F30" s="391"/>
      <c r="G30" s="390"/>
      <c r="H30" s="391"/>
      <c r="I30" s="390"/>
      <c r="J30" s="391"/>
      <c r="K30" s="390"/>
      <c r="L30" s="392"/>
    </row>
    <row r="31" spans="1:12">
      <c r="A31" s="571"/>
      <c r="B31" s="386" t="s">
        <v>324</v>
      </c>
      <c r="C31" s="399">
        <f>SUM(C27:C30)</f>
        <v>43</v>
      </c>
      <c r="D31" s="172"/>
      <c r="E31" s="172"/>
      <c r="F31" s="240"/>
      <c r="G31" s="172"/>
      <c r="H31" s="240"/>
      <c r="I31" s="172"/>
      <c r="J31" s="240"/>
      <c r="K31" s="172"/>
      <c r="L31" s="387"/>
    </row>
    <row r="32" spans="1:12">
      <c r="A32" s="571"/>
      <c r="B32" s="378" t="s">
        <v>364</v>
      </c>
      <c r="C32" s="413">
        <f>C25</f>
        <v>37</v>
      </c>
      <c r="D32" s="379"/>
      <c r="E32" s="379" t="s">
        <v>361</v>
      </c>
      <c r="F32" s="219"/>
      <c r="G32" s="379"/>
      <c r="H32" s="219"/>
      <c r="I32" s="379"/>
      <c r="J32" s="219"/>
      <c r="K32" s="379"/>
      <c r="L32" s="388"/>
    </row>
    <row r="33" spans="1:14">
      <c r="A33" s="571"/>
      <c r="B33" s="389" t="s">
        <v>359</v>
      </c>
      <c r="C33" s="400">
        <f>+C31+C32</f>
        <v>80</v>
      </c>
      <c r="D33" s="390"/>
      <c r="E33" s="390"/>
      <c r="F33" s="391"/>
      <c r="G33" s="390"/>
      <c r="H33" s="391"/>
      <c r="I33" s="390"/>
      <c r="J33" s="391"/>
      <c r="K33" s="390"/>
      <c r="L33" s="392"/>
    </row>
    <row r="34" spans="1:14">
      <c r="A34" s="572" t="s">
        <v>353</v>
      </c>
      <c r="B34" s="172" t="s">
        <v>370</v>
      </c>
      <c r="C34" s="396">
        <v>6</v>
      </c>
      <c r="D34" s="172"/>
      <c r="E34" s="172" t="s">
        <v>381</v>
      </c>
      <c r="F34" s="240"/>
      <c r="G34" s="172"/>
      <c r="H34" s="240"/>
      <c r="I34" s="172"/>
      <c r="J34" s="240"/>
      <c r="K34" s="172"/>
      <c r="L34" s="387"/>
    </row>
    <row r="35" spans="1:14">
      <c r="A35" s="573"/>
      <c r="B35" s="379" t="s">
        <v>351</v>
      </c>
      <c r="C35" s="394">
        <v>25</v>
      </c>
      <c r="D35" s="379"/>
      <c r="E35" s="379"/>
      <c r="F35" s="219"/>
      <c r="G35" s="379"/>
      <c r="H35" s="219"/>
      <c r="I35" s="379"/>
      <c r="J35" s="219"/>
      <c r="K35" s="379"/>
      <c r="L35" s="388"/>
      <c r="N35" s="162"/>
    </row>
    <row r="36" spans="1:14">
      <c r="A36" s="574"/>
      <c r="B36" s="390" t="s">
        <v>352</v>
      </c>
      <c r="C36" s="395">
        <v>30</v>
      </c>
      <c r="D36" s="390"/>
      <c r="E36" s="390"/>
      <c r="F36" s="391"/>
      <c r="G36" s="390"/>
      <c r="H36" s="391"/>
      <c r="I36" s="390"/>
      <c r="J36" s="391"/>
      <c r="K36" s="390"/>
      <c r="L36" s="392"/>
    </row>
    <row r="37" spans="1:14">
      <c r="A37" s="572" t="s">
        <v>355</v>
      </c>
      <c r="B37" s="172" t="s">
        <v>350</v>
      </c>
      <c r="C37" s="401">
        <f>+C32*C34*C35</f>
        <v>5550</v>
      </c>
      <c r="D37" s="172"/>
      <c r="E37" s="172"/>
      <c r="F37" s="240"/>
      <c r="G37" s="172"/>
      <c r="H37" s="240"/>
      <c r="I37" s="172"/>
      <c r="J37" s="240"/>
      <c r="K37" s="172"/>
      <c r="L37" s="387"/>
    </row>
    <row r="38" spans="1:14">
      <c r="A38" s="573"/>
      <c r="B38" s="379" t="s">
        <v>354</v>
      </c>
      <c r="C38" s="402">
        <f>+C31*C34*C36</f>
        <v>7740</v>
      </c>
      <c r="D38" s="379"/>
      <c r="E38" s="379"/>
      <c r="F38" s="219"/>
      <c r="G38" s="403"/>
      <c r="H38" s="219"/>
      <c r="I38" s="379"/>
      <c r="J38" s="219"/>
      <c r="K38" s="379"/>
      <c r="L38" s="388"/>
    </row>
    <row r="39" spans="1:14" ht="15" thickBot="1">
      <c r="A39" s="575"/>
      <c r="B39" s="406" t="s">
        <v>365</v>
      </c>
      <c r="C39" s="407">
        <f>+C37+C38</f>
        <v>13290</v>
      </c>
      <c r="D39" s="408"/>
      <c r="E39" s="408" t="s">
        <v>382</v>
      </c>
      <c r="F39" s="408"/>
      <c r="G39" s="408"/>
      <c r="H39" s="408"/>
      <c r="I39" s="408"/>
      <c r="J39" s="408"/>
      <c r="K39" s="408"/>
      <c r="L39" s="409"/>
    </row>
    <row r="40" spans="1:14" ht="15.5" thickTop="1" thickBot="1">
      <c r="F40" s="238"/>
      <c r="H40" s="238"/>
      <c r="J40" s="238"/>
    </row>
    <row r="41" spans="1:14" ht="15.5" thickTop="1" thickBot="1">
      <c r="A41" s="410" t="s">
        <v>357</v>
      </c>
      <c r="B41" s="411"/>
      <c r="C41" s="411"/>
      <c r="D41" s="411"/>
      <c r="E41" s="411"/>
      <c r="F41" s="411"/>
      <c r="G41" s="411"/>
      <c r="H41" s="411"/>
      <c r="I41" s="411"/>
      <c r="J41" s="411"/>
      <c r="K41" s="411"/>
      <c r="L41" s="412"/>
    </row>
    <row r="42" spans="1:14" ht="15" customHeight="1" thickTop="1">
      <c r="A42" s="576" t="s">
        <v>358</v>
      </c>
      <c r="B42" s="417" t="s">
        <v>363</v>
      </c>
      <c r="C42" s="416">
        <f>+C15</f>
        <v>52</v>
      </c>
      <c r="D42" s="417"/>
      <c r="E42" s="417"/>
      <c r="F42" s="418"/>
      <c r="G42" s="417"/>
      <c r="H42" s="418"/>
      <c r="I42" s="417"/>
      <c r="J42" s="418"/>
      <c r="K42" s="417"/>
      <c r="L42" s="419"/>
    </row>
    <row r="43" spans="1:14">
      <c r="A43" s="577"/>
      <c r="B43" s="379" t="s">
        <v>362</v>
      </c>
      <c r="C43" s="397">
        <v>2</v>
      </c>
      <c r="D43" s="379"/>
      <c r="E43" s="379"/>
      <c r="F43" s="219"/>
      <c r="G43" s="379"/>
      <c r="H43" s="219"/>
      <c r="I43" s="379"/>
      <c r="J43" s="219"/>
      <c r="K43" s="379"/>
      <c r="L43" s="388"/>
    </row>
    <row r="44" spans="1:14">
      <c r="A44" s="577"/>
      <c r="B44" s="390" t="s">
        <v>360</v>
      </c>
      <c r="C44" s="398">
        <f>+C42*C43</f>
        <v>104</v>
      </c>
      <c r="D44" s="390"/>
      <c r="E44" s="390"/>
      <c r="F44" s="391"/>
      <c r="G44" s="390"/>
      <c r="H44" s="391"/>
      <c r="I44" s="390"/>
      <c r="J44" s="391"/>
      <c r="K44" s="390"/>
      <c r="L44" s="392"/>
    </row>
    <row r="45" spans="1:14">
      <c r="A45" s="577"/>
      <c r="B45" s="172" t="s">
        <v>327</v>
      </c>
      <c r="C45" s="399"/>
      <c r="D45" s="172"/>
      <c r="E45" s="172"/>
      <c r="F45" s="240"/>
      <c r="G45" s="172"/>
      <c r="H45" s="240"/>
      <c r="I45" s="172"/>
      <c r="J45" s="240"/>
      <c r="K45" s="172"/>
      <c r="L45" s="387"/>
    </row>
    <row r="46" spans="1:14">
      <c r="A46" s="577"/>
      <c r="B46" s="379" t="s">
        <v>366</v>
      </c>
      <c r="C46" s="413">
        <f>+C16</f>
        <v>4</v>
      </c>
      <c r="D46" s="379"/>
      <c r="E46" s="379"/>
      <c r="F46" s="219"/>
      <c r="G46" s="379"/>
      <c r="H46" s="219"/>
      <c r="I46" s="379"/>
      <c r="J46" s="219"/>
      <c r="K46" s="379"/>
      <c r="L46" s="388"/>
    </row>
    <row r="47" spans="1:14">
      <c r="A47" s="577"/>
      <c r="B47" s="379" t="s">
        <v>367</v>
      </c>
      <c r="C47" s="413">
        <f>+C17</f>
        <v>6</v>
      </c>
      <c r="D47" s="379"/>
      <c r="E47" s="379"/>
      <c r="F47" s="219"/>
      <c r="G47" s="379"/>
      <c r="H47" s="219"/>
      <c r="I47" s="379"/>
      <c r="J47" s="219"/>
      <c r="K47" s="379"/>
      <c r="L47" s="388"/>
    </row>
    <row r="48" spans="1:14">
      <c r="A48" s="577"/>
      <c r="B48" s="219" t="s">
        <v>368</v>
      </c>
      <c r="C48" s="422">
        <v>20</v>
      </c>
      <c r="D48" s="219"/>
      <c r="E48" s="219" t="s">
        <v>394</v>
      </c>
      <c r="F48" s="219"/>
      <c r="G48" s="219"/>
      <c r="H48" s="219"/>
      <c r="I48" s="219"/>
      <c r="J48" s="219"/>
      <c r="K48" s="219"/>
      <c r="L48" s="423"/>
    </row>
    <row r="49" spans="1:12">
      <c r="A49" s="578"/>
      <c r="B49" s="391" t="s">
        <v>369</v>
      </c>
      <c r="C49" s="391">
        <f>SUM(C44:C48)</f>
        <v>134</v>
      </c>
      <c r="D49" s="391"/>
      <c r="E49" s="391"/>
      <c r="F49" s="391"/>
      <c r="G49" s="391"/>
      <c r="H49" s="391"/>
      <c r="I49" s="391"/>
      <c r="J49" s="391"/>
      <c r="K49" s="391"/>
      <c r="L49" s="421"/>
    </row>
    <row r="50" spans="1:12">
      <c r="A50" s="564" t="s">
        <v>373</v>
      </c>
      <c r="B50" s="172" t="s">
        <v>372</v>
      </c>
      <c r="C50" s="184">
        <v>1</v>
      </c>
      <c r="D50" s="172"/>
      <c r="E50" s="172"/>
      <c r="F50" s="240"/>
      <c r="G50" s="172"/>
      <c r="H50" s="240"/>
      <c r="I50" s="172"/>
      <c r="J50" s="240"/>
      <c r="K50" s="172"/>
      <c r="L50" s="387"/>
    </row>
    <row r="51" spans="1:12">
      <c r="A51" s="563"/>
      <c r="B51" s="390" t="s">
        <v>371</v>
      </c>
      <c r="C51" s="393">
        <v>25</v>
      </c>
      <c r="D51" s="390"/>
      <c r="E51" s="390"/>
      <c r="F51" s="391"/>
      <c r="G51" s="390"/>
      <c r="H51" s="391"/>
      <c r="I51" s="390"/>
      <c r="J51" s="391"/>
      <c r="K51" s="390"/>
      <c r="L51" s="392"/>
    </row>
    <row r="52" spans="1:12" ht="29" customHeight="1" thickBot="1">
      <c r="A52" s="424" t="s">
        <v>355</v>
      </c>
      <c r="B52" s="425" t="s">
        <v>321</v>
      </c>
      <c r="C52" s="426">
        <f>+C49*C50*C51</f>
        <v>3350</v>
      </c>
      <c r="D52" s="427"/>
      <c r="E52" s="565" t="s">
        <v>393</v>
      </c>
      <c r="F52" s="565"/>
      <c r="G52" s="565"/>
      <c r="H52" s="565"/>
      <c r="I52" s="565"/>
      <c r="J52" s="565"/>
      <c r="K52" s="565"/>
      <c r="L52" s="566"/>
    </row>
    <row r="53" spans="1:12" ht="15.5" thickTop="1" thickBot="1">
      <c r="F53" s="238"/>
      <c r="H53" s="238"/>
      <c r="J53" s="238"/>
    </row>
    <row r="54" spans="1:12" ht="15.5" thickTop="1" thickBot="1">
      <c r="A54" s="410" t="s">
        <v>399</v>
      </c>
      <c r="B54" s="411"/>
      <c r="C54" s="411"/>
      <c r="D54" s="411"/>
      <c r="E54" s="411"/>
      <c r="F54" s="411"/>
      <c r="G54" s="411"/>
      <c r="H54" s="411"/>
      <c r="I54" s="411"/>
      <c r="J54" s="411"/>
      <c r="K54" s="411"/>
      <c r="L54" s="412"/>
    </row>
    <row r="55" spans="1:12" ht="15" customHeight="1" thickTop="1">
      <c r="A55" s="561" t="s">
        <v>358</v>
      </c>
      <c r="B55" s="417" t="s">
        <v>363</v>
      </c>
      <c r="C55" s="416">
        <f>+C19</f>
        <v>15</v>
      </c>
      <c r="D55" s="417"/>
      <c r="E55" s="417" t="str">
        <f>+D19</f>
        <v>Memorial Day (May 27) - Labor Day (Sept 2)</v>
      </c>
      <c r="F55" s="418"/>
      <c r="G55" s="417"/>
      <c r="H55" s="418"/>
      <c r="I55" s="417"/>
      <c r="J55" s="418"/>
      <c r="K55" s="417"/>
      <c r="L55" s="419"/>
    </row>
    <row r="56" spans="1:12">
      <c r="A56" s="562"/>
      <c r="B56" s="379" t="s">
        <v>362</v>
      </c>
      <c r="C56" s="397">
        <v>1</v>
      </c>
      <c r="D56" s="379"/>
      <c r="E56" s="379"/>
      <c r="F56" s="219"/>
      <c r="G56" s="379"/>
      <c r="H56" s="219"/>
      <c r="I56" s="379"/>
      <c r="J56" s="219"/>
      <c r="K56" s="379"/>
      <c r="L56" s="388"/>
    </row>
    <row r="57" spans="1:12">
      <c r="A57" s="563"/>
      <c r="B57" s="390" t="s">
        <v>360</v>
      </c>
      <c r="C57" s="398">
        <f>+C55*C56</f>
        <v>15</v>
      </c>
      <c r="D57" s="390"/>
      <c r="E57" s="390"/>
      <c r="F57" s="391"/>
      <c r="G57" s="390"/>
      <c r="H57" s="391"/>
      <c r="I57" s="390"/>
      <c r="J57" s="391"/>
      <c r="K57" s="390"/>
      <c r="L57" s="392"/>
    </row>
    <row r="58" spans="1:12">
      <c r="A58" s="564" t="s">
        <v>373</v>
      </c>
      <c r="B58" s="172" t="s">
        <v>374</v>
      </c>
      <c r="C58" s="184">
        <v>3</v>
      </c>
      <c r="D58" s="172"/>
      <c r="E58" s="172" t="s">
        <v>375</v>
      </c>
      <c r="F58" s="240"/>
      <c r="G58" s="172"/>
      <c r="H58" s="240"/>
      <c r="I58" s="172"/>
      <c r="J58" s="240"/>
      <c r="K58" s="172"/>
      <c r="L58" s="387"/>
    </row>
    <row r="59" spans="1:12">
      <c r="A59" s="563"/>
      <c r="B59" s="390" t="s">
        <v>376</v>
      </c>
      <c r="C59" s="393">
        <v>50</v>
      </c>
      <c r="D59" s="390"/>
      <c r="E59" s="390"/>
      <c r="F59" s="391"/>
      <c r="G59" s="390"/>
      <c r="H59" s="391"/>
      <c r="I59" s="390"/>
      <c r="J59" s="391"/>
      <c r="K59" s="390"/>
      <c r="L59" s="392"/>
    </row>
    <row r="60" spans="1:12" ht="15" thickBot="1">
      <c r="A60" s="456" t="s">
        <v>355</v>
      </c>
      <c r="B60" s="453" t="s">
        <v>383</v>
      </c>
      <c r="C60" s="457">
        <f>+C57*C58*C59</f>
        <v>2250</v>
      </c>
      <c r="D60" s="240"/>
      <c r="E60" s="240"/>
      <c r="F60" s="240"/>
      <c r="G60" s="240"/>
      <c r="H60" s="240"/>
      <c r="I60" s="240"/>
      <c r="J60" s="240"/>
      <c r="K60" s="240"/>
      <c r="L60" s="454"/>
    </row>
    <row r="61" spans="1:12" ht="15" customHeight="1">
      <c r="A61" s="579" t="s">
        <v>373</v>
      </c>
      <c r="B61" s="458" t="s">
        <v>386</v>
      </c>
      <c r="C61" s="459">
        <v>2</v>
      </c>
      <c r="D61" s="458"/>
      <c r="E61" s="458" t="s">
        <v>375</v>
      </c>
      <c r="F61" s="460"/>
      <c r="G61" s="458"/>
      <c r="H61" s="460"/>
      <c r="I61" s="458"/>
      <c r="J61" s="460"/>
      <c r="K61" s="458"/>
      <c r="L61" s="461"/>
    </row>
    <row r="62" spans="1:12" ht="15" customHeight="1">
      <c r="A62" s="563"/>
      <c r="B62" s="390" t="s">
        <v>385</v>
      </c>
      <c r="C62" s="393">
        <v>25</v>
      </c>
      <c r="D62" s="390"/>
      <c r="E62" s="390"/>
      <c r="F62" s="391"/>
      <c r="G62" s="390"/>
      <c r="H62" s="391"/>
      <c r="I62" s="390"/>
      <c r="J62" s="391"/>
      <c r="K62" s="390"/>
      <c r="L62" s="392"/>
    </row>
    <row r="63" spans="1:12" ht="15" thickBot="1">
      <c r="A63" s="462" t="s">
        <v>355</v>
      </c>
      <c r="B63" s="463" t="s">
        <v>387</v>
      </c>
      <c r="C63" s="464">
        <f>+C55*C61*C62</f>
        <v>750</v>
      </c>
      <c r="D63" s="465"/>
      <c r="E63" s="465"/>
      <c r="F63" s="465"/>
      <c r="G63" s="465"/>
      <c r="H63" s="465"/>
      <c r="I63" s="465"/>
      <c r="J63" s="465"/>
      <c r="K63" s="465"/>
      <c r="L63" s="466"/>
    </row>
    <row r="64" spans="1:12" ht="15" thickBot="1">
      <c r="A64" s="424" t="s">
        <v>355</v>
      </c>
      <c r="B64" s="406" t="s">
        <v>388</v>
      </c>
      <c r="C64" s="407">
        <f>+C60+C63</f>
        <v>3000</v>
      </c>
      <c r="D64" s="408"/>
      <c r="E64" s="408"/>
      <c r="F64" s="408"/>
      <c r="G64" s="408"/>
      <c r="H64" s="408"/>
      <c r="I64" s="408"/>
      <c r="J64" s="408"/>
      <c r="K64" s="408"/>
      <c r="L64" s="409"/>
    </row>
    <row r="65" spans="1:12" ht="15.5" thickTop="1" thickBot="1">
      <c r="A65" s="455"/>
      <c r="B65" s="379"/>
      <c r="C65" s="380"/>
      <c r="D65" s="379"/>
      <c r="E65" s="379"/>
      <c r="F65" s="219"/>
      <c r="G65" s="379"/>
      <c r="H65" s="219"/>
      <c r="I65" s="379"/>
      <c r="J65" s="219"/>
      <c r="K65" s="379"/>
      <c r="L65" s="379"/>
    </row>
    <row r="66" spans="1:12" ht="15.5" thickTop="1" thickBot="1">
      <c r="A66" s="410" t="s">
        <v>323</v>
      </c>
      <c r="B66" s="411"/>
      <c r="C66" s="411"/>
      <c r="D66" s="411"/>
      <c r="E66" s="411"/>
      <c r="F66" s="411"/>
      <c r="G66" s="411"/>
      <c r="H66" s="411"/>
      <c r="I66" s="411"/>
      <c r="J66" s="411"/>
      <c r="K66" s="411"/>
      <c r="L66" s="412"/>
    </row>
    <row r="67" spans="1:12" ht="15" customHeight="1" thickTop="1">
      <c r="A67" s="561" t="s">
        <v>358</v>
      </c>
      <c r="B67" s="417" t="s">
        <v>363</v>
      </c>
      <c r="C67" s="416">
        <f>+C25</f>
        <v>37</v>
      </c>
      <c r="D67" s="417"/>
      <c r="E67" s="417" t="s">
        <v>379</v>
      </c>
      <c r="F67" s="418"/>
      <c r="G67" s="417"/>
      <c r="H67" s="418"/>
      <c r="I67" s="417"/>
      <c r="J67" s="418"/>
      <c r="K67" s="417"/>
      <c r="L67" s="419"/>
    </row>
    <row r="68" spans="1:12">
      <c r="A68" s="562"/>
      <c r="B68" s="379" t="s">
        <v>362</v>
      </c>
      <c r="C68" s="397">
        <v>1</v>
      </c>
      <c r="D68" s="379"/>
      <c r="E68" s="379"/>
      <c r="F68" s="219"/>
      <c r="G68" s="379"/>
      <c r="H68" s="219"/>
      <c r="I68" s="379"/>
      <c r="J68" s="219"/>
      <c r="K68" s="379"/>
      <c r="L68" s="388"/>
    </row>
    <row r="69" spans="1:12">
      <c r="A69" s="563"/>
      <c r="B69" s="390" t="s">
        <v>360</v>
      </c>
      <c r="C69" s="398">
        <f>+C67*C68</f>
        <v>37</v>
      </c>
      <c r="D69" s="390"/>
      <c r="E69" s="390"/>
      <c r="F69" s="391"/>
      <c r="G69" s="390"/>
      <c r="H69" s="391"/>
      <c r="I69" s="390"/>
      <c r="J69" s="391"/>
      <c r="K69" s="390"/>
      <c r="L69" s="392"/>
    </row>
    <row r="70" spans="1:12">
      <c r="A70" s="564" t="s">
        <v>373</v>
      </c>
      <c r="B70" s="172" t="s">
        <v>380</v>
      </c>
      <c r="C70" s="184">
        <v>1</v>
      </c>
      <c r="D70" s="172"/>
      <c r="E70" s="172"/>
      <c r="F70" s="240"/>
      <c r="G70" s="172"/>
      <c r="H70" s="240"/>
      <c r="I70" s="172"/>
      <c r="J70" s="240"/>
      <c r="K70" s="172"/>
      <c r="L70" s="387"/>
    </row>
    <row r="71" spans="1:12">
      <c r="A71" s="563"/>
      <c r="B71" s="390" t="s">
        <v>376</v>
      </c>
      <c r="C71" s="393">
        <v>25</v>
      </c>
      <c r="D71" s="390"/>
      <c r="E71" s="390"/>
      <c r="F71" s="391"/>
      <c r="G71" s="390"/>
      <c r="H71" s="391"/>
      <c r="I71" s="390"/>
      <c r="J71" s="391"/>
      <c r="K71" s="390"/>
      <c r="L71" s="392"/>
    </row>
    <row r="72" spans="1:12" ht="15" thickBot="1">
      <c r="A72" s="424" t="s">
        <v>355</v>
      </c>
      <c r="B72" s="425" t="s">
        <v>377</v>
      </c>
      <c r="C72" s="426">
        <f>+C69*C70*C71</f>
        <v>925</v>
      </c>
      <c r="D72" s="427"/>
      <c r="E72" s="427"/>
      <c r="F72" s="427"/>
      <c r="G72" s="427"/>
      <c r="H72" s="427"/>
      <c r="I72" s="427"/>
      <c r="J72" s="427"/>
      <c r="K72" s="427"/>
      <c r="L72" s="428"/>
    </row>
    <row r="73" spans="1:12" ht="15.5" thickTop="1" thickBot="1">
      <c r="C73" s="381"/>
      <c r="F73" s="238"/>
      <c r="H73" s="238"/>
      <c r="J73" s="238"/>
    </row>
    <row r="74" spans="1:12" ht="15.5" thickTop="1" thickBot="1">
      <c r="A74" s="567" t="s">
        <v>377</v>
      </c>
      <c r="B74" s="568"/>
      <c r="C74" s="429">
        <f>+C22+C39+C52+C64+C72</f>
        <v>23565</v>
      </c>
      <c r="D74" s="411"/>
      <c r="E74" s="411"/>
      <c r="F74" s="411"/>
      <c r="G74" s="411"/>
      <c r="H74" s="411"/>
      <c r="I74" s="411"/>
      <c r="J74" s="411"/>
      <c r="K74" s="411"/>
      <c r="L74" s="412"/>
    </row>
    <row r="75" spans="1:12" ht="15" thickTop="1">
      <c r="B75" s="155" t="s">
        <v>322</v>
      </c>
      <c r="C75" s="162">
        <f>+C10-C74</f>
        <v>167</v>
      </c>
      <c r="F75" s="238"/>
      <c r="H75" s="238"/>
      <c r="J75" s="238"/>
    </row>
    <row r="76" spans="1:12">
      <c r="F76" s="238"/>
      <c r="H76" s="238"/>
      <c r="J76" s="238"/>
    </row>
    <row r="77" spans="1:12">
      <c r="F77" s="238"/>
      <c r="H77" s="238"/>
      <c r="J77" s="238"/>
    </row>
    <row r="78" spans="1:12">
      <c r="F78" s="238"/>
      <c r="H78" s="238"/>
      <c r="J78" s="238"/>
    </row>
    <row r="79" spans="1:12">
      <c r="F79" s="238"/>
      <c r="H79" s="238"/>
      <c r="J79" s="238"/>
    </row>
    <row r="80" spans="1:12">
      <c r="F80" s="238"/>
      <c r="H80" s="238"/>
      <c r="J80" s="238"/>
    </row>
    <row r="81" spans="6:10">
      <c r="F81" s="238"/>
      <c r="H81" s="238"/>
      <c r="J81" s="238"/>
    </row>
    <row r="82" spans="6:10">
      <c r="F82" s="238"/>
      <c r="H82" s="238"/>
      <c r="J82" s="238"/>
    </row>
    <row r="83" spans="6:10">
      <c r="F83" s="238"/>
      <c r="H83" s="238"/>
      <c r="J83" s="238"/>
    </row>
    <row r="84" spans="6:10">
      <c r="F84" s="238"/>
      <c r="H84" s="238"/>
      <c r="J84" s="238"/>
    </row>
    <row r="85" spans="6:10">
      <c r="F85" s="238"/>
      <c r="H85" s="238"/>
      <c r="J85" s="238"/>
    </row>
    <row r="86" spans="6:10">
      <c r="F86" s="238"/>
      <c r="H86" s="238"/>
      <c r="J86" s="238"/>
    </row>
    <row r="87" spans="6:10">
      <c r="F87" s="238"/>
      <c r="H87" s="238"/>
      <c r="J87" s="238"/>
    </row>
    <row r="88" spans="6:10">
      <c r="F88" s="238"/>
      <c r="H88" s="238"/>
      <c r="J88" s="238"/>
    </row>
    <row r="89" spans="6:10">
      <c r="F89" s="238"/>
      <c r="H89" s="238"/>
      <c r="J89" s="238"/>
    </row>
    <row r="90" spans="6:10">
      <c r="F90" s="238"/>
      <c r="H90" s="238"/>
      <c r="J90" s="238"/>
    </row>
    <row r="91" spans="6:10">
      <c r="F91" s="238"/>
      <c r="H91" s="238"/>
      <c r="J91" s="238"/>
    </row>
    <row r="92" spans="6:10">
      <c r="F92" s="238"/>
      <c r="H92" s="238"/>
      <c r="J92" s="238"/>
    </row>
  </sheetData>
  <mergeCells count="15">
    <mergeCell ref="A67:A69"/>
    <mergeCell ref="A70:A71"/>
    <mergeCell ref="A74:B74"/>
    <mergeCell ref="A25:A33"/>
    <mergeCell ref="A34:A36"/>
    <mergeCell ref="A37:A39"/>
    <mergeCell ref="A42:A49"/>
    <mergeCell ref="A50:A51"/>
    <mergeCell ref="A61:A62"/>
    <mergeCell ref="E22:L22"/>
    <mergeCell ref="A1:L1"/>
    <mergeCell ref="A2:L2"/>
    <mergeCell ref="A55:A57"/>
    <mergeCell ref="A58:A59"/>
    <mergeCell ref="E52:L52"/>
  </mergeCells>
  <printOptions horizontalCentered="1" verticalCentered="1"/>
  <pageMargins left="0.2" right="0.2" top="0.25" bottom="0.25" header="0.3" footer="0.3"/>
  <pageSetup scale="62" orientation="portrait" horizontalDpi="4294967293" verticalDpi="0" r:id="rId1"/>
</worksheet>
</file>

<file path=xl/worksheets/sheet6.xml><?xml version="1.0" encoding="utf-8"?>
<worksheet xmlns="http://schemas.openxmlformats.org/spreadsheetml/2006/main" xmlns:r="http://schemas.openxmlformats.org/officeDocument/2006/relationships">
  <sheetPr>
    <pageSetUpPr fitToPage="1"/>
  </sheetPr>
  <dimension ref="A1:G50"/>
  <sheetViews>
    <sheetView showGridLines="0" workbookViewId="0">
      <selection activeCell="B35" sqref="B35"/>
    </sheetView>
  </sheetViews>
  <sheetFormatPr defaultRowHeight="15.5"/>
  <cols>
    <col min="1" max="1" width="1.7265625" style="470" customWidth="1"/>
    <col min="2" max="2" width="41" style="470" customWidth="1"/>
    <col min="3" max="3" width="10.26953125" style="505" customWidth="1"/>
    <col min="4" max="4" width="58.90625" style="470" customWidth="1"/>
    <col min="5" max="16384" width="8.7265625" style="470"/>
  </cols>
  <sheetData>
    <row r="1" spans="1:5" ht="20">
      <c r="A1" s="580" t="s">
        <v>405</v>
      </c>
      <c r="B1" s="580"/>
      <c r="C1" s="580"/>
      <c r="D1" s="580"/>
      <c r="E1" s="580"/>
    </row>
    <row r="2" spans="1:5" ht="18.5" customHeight="1">
      <c r="A2" s="581" t="s">
        <v>404</v>
      </c>
      <c r="B2" s="581"/>
      <c r="C2" s="581"/>
      <c r="D2" s="581"/>
      <c r="E2" s="581"/>
    </row>
    <row r="3" spans="1:5" ht="18.5" customHeight="1" thickBot="1">
      <c r="A3" s="478"/>
      <c r="B3" s="478"/>
      <c r="C3" s="478"/>
      <c r="D3" s="478"/>
      <c r="E3" s="478"/>
    </row>
    <row r="4" spans="1:5" ht="30" customHeight="1" thickBot="1">
      <c r="A4" s="478"/>
      <c r="B4" s="496" t="s">
        <v>410</v>
      </c>
      <c r="C4" s="497" t="s">
        <v>412</v>
      </c>
      <c r="D4" s="478"/>
      <c r="E4" s="478"/>
    </row>
    <row r="5" spans="1:5" ht="18.5" customHeight="1">
      <c r="A5" s="478"/>
      <c r="B5" s="492" t="s">
        <v>47</v>
      </c>
      <c r="C5" s="493">
        <f>+'New Year-Full Year'!F108</f>
        <v>10</v>
      </c>
      <c r="D5" s="478"/>
      <c r="E5" s="478"/>
    </row>
    <row r="6" spans="1:5" ht="18.5" customHeight="1">
      <c r="A6" s="478"/>
      <c r="B6" s="492" t="s">
        <v>413</v>
      </c>
      <c r="C6" s="493">
        <f>+'New Year-Full Year'!F136</f>
        <v>17</v>
      </c>
      <c r="D6" s="478"/>
      <c r="E6" s="478"/>
    </row>
    <row r="7" spans="1:5" ht="18.5" customHeight="1">
      <c r="A7" s="478"/>
      <c r="B7" s="492" t="s">
        <v>414</v>
      </c>
      <c r="C7" s="493">
        <f>+'New Year-Full Year'!F138</f>
        <v>13.37</v>
      </c>
      <c r="D7" s="478"/>
      <c r="E7" s="478"/>
    </row>
    <row r="8" spans="1:5" ht="18.5" customHeight="1">
      <c r="A8" s="478"/>
      <c r="B8" s="492" t="s">
        <v>415</v>
      </c>
      <c r="C8" s="493">
        <f>+'New Year-Full Year'!F139</f>
        <v>11.34</v>
      </c>
      <c r="D8" s="478"/>
      <c r="E8" s="478"/>
    </row>
    <row r="9" spans="1:5" ht="18.5" customHeight="1">
      <c r="A9" s="478"/>
      <c r="B9" s="492" t="s">
        <v>416</v>
      </c>
      <c r="C9" s="493">
        <f>+'New Year-Full Year'!F140</f>
        <v>11</v>
      </c>
      <c r="D9" s="478"/>
      <c r="E9" s="478"/>
    </row>
    <row r="10" spans="1:5" ht="18.5" customHeight="1" thickBot="1">
      <c r="A10" s="478"/>
      <c r="B10" s="494" t="s">
        <v>227</v>
      </c>
      <c r="C10" s="495">
        <f>+'New Year-Full Year'!F145</f>
        <v>14.28</v>
      </c>
      <c r="D10" s="478"/>
      <c r="E10" s="478"/>
    </row>
    <row r="11" spans="1:5" ht="8" customHeight="1">
      <c r="A11" s="478"/>
      <c r="B11" s="478"/>
      <c r="C11" s="478"/>
      <c r="D11" s="478"/>
      <c r="E11" s="478"/>
    </row>
    <row r="12" spans="1:5" ht="18.5" customHeight="1" thickBot="1">
      <c r="A12" s="478"/>
      <c r="B12" s="469" t="s">
        <v>409</v>
      </c>
      <c r="C12" s="478"/>
      <c r="D12" s="478"/>
      <c r="E12" s="478"/>
    </row>
    <row r="13" spans="1:5" ht="16" thickBot="1">
      <c r="A13" s="471"/>
      <c r="B13" s="483" t="s">
        <v>418</v>
      </c>
      <c r="C13" s="501"/>
      <c r="D13" s="589" t="s">
        <v>417</v>
      </c>
      <c r="E13" s="590"/>
    </row>
    <row r="14" spans="1:5" ht="67" customHeight="1" thickBot="1">
      <c r="B14" s="498" t="s">
        <v>318</v>
      </c>
      <c r="C14" s="499">
        <v>3000</v>
      </c>
      <c r="D14" s="582" t="s">
        <v>411</v>
      </c>
      <c r="E14" s="583"/>
    </row>
    <row r="15" spans="1:5" ht="16" thickBot="1">
      <c r="A15" s="479"/>
      <c r="B15" s="472"/>
      <c r="C15" s="502"/>
      <c r="D15" s="472"/>
    </row>
    <row r="16" spans="1:5" ht="16" thickBot="1">
      <c r="A16" s="473"/>
      <c r="B16" s="483" t="s">
        <v>356</v>
      </c>
      <c r="C16" s="501"/>
      <c r="D16" s="484"/>
      <c r="E16" s="485"/>
    </row>
    <row r="17" spans="1:7">
      <c r="A17" s="584"/>
      <c r="B17" s="480" t="s">
        <v>419</v>
      </c>
      <c r="C17" s="500">
        <v>6</v>
      </c>
      <c r="D17" s="585" t="s">
        <v>407</v>
      </c>
      <c r="E17" s="586"/>
    </row>
    <row r="18" spans="1:7">
      <c r="A18" s="584"/>
      <c r="B18" s="480" t="s">
        <v>351</v>
      </c>
      <c r="C18" s="503">
        <v>25</v>
      </c>
      <c r="D18" s="585"/>
      <c r="E18" s="586"/>
      <c r="G18" s="474"/>
    </row>
    <row r="19" spans="1:7" ht="16" thickBot="1">
      <c r="A19" s="584"/>
      <c r="B19" s="481" t="s">
        <v>352</v>
      </c>
      <c r="C19" s="504">
        <v>30</v>
      </c>
      <c r="D19" s="587"/>
      <c r="E19" s="588"/>
    </row>
    <row r="20" spans="1:7" ht="16" thickBot="1">
      <c r="A20" s="473"/>
    </row>
    <row r="21" spans="1:7" ht="16" thickBot="1">
      <c r="A21" s="473"/>
      <c r="B21" s="483" t="s">
        <v>357</v>
      </c>
      <c r="C21" s="501"/>
      <c r="D21" s="484"/>
      <c r="E21" s="485"/>
    </row>
    <row r="22" spans="1:7">
      <c r="A22" s="584"/>
      <c r="B22" s="480" t="s">
        <v>420</v>
      </c>
      <c r="C22" s="500">
        <v>1</v>
      </c>
      <c r="D22" s="585" t="s">
        <v>408</v>
      </c>
      <c r="E22" s="586"/>
    </row>
    <row r="23" spans="1:7" ht="16" thickBot="1">
      <c r="A23" s="584"/>
      <c r="B23" s="481" t="s">
        <v>371</v>
      </c>
      <c r="C23" s="504">
        <v>25</v>
      </c>
      <c r="D23" s="587"/>
      <c r="E23" s="588"/>
    </row>
    <row r="24" spans="1:7" ht="16" thickBot="1">
      <c r="A24" s="473"/>
    </row>
    <row r="25" spans="1:7" ht="16" thickBot="1">
      <c r="A25" s="473"/>
      <c r="B25" s="483" t="s">
        <v>399</v>
      </c>
      <c r="C25" s="501"/>
      <c r="D25" s="484"/>
      <c r="E25" s="485"/>
    </row>
    <row r="26" spans="1:7">
      <c r="A26" s="584"/>
      <c r="B26" s="480" t="s">
        <v>421</v>
      </c>
      <c r="C26" s="500">
        <v>3</v>
      </c>
      <c r="D26" s="473" t="s">
        <v>375</v>
      </c>
      <c r="E26" s="486"/>
    </row>
    <row r="27" spans="1:7" ht="16" thickBot="1">
      <c r="A27" s="584"/>
      <c r="B27" s="488" t="s">
        <v>376</v>
      </c>
      <c r="C27" s="506">
        <v>50</v>
      </c>
      <c r="D27" s="475"/>
      <c r="E27" s="489"/>
    </row>
    <row r="28" spans="1:7" ht="15" customHeight="1">
      <c r="A28" s="584"/>
      <c r="B28" s="490" t="s">
        <v>422</v>
      </c>
      <c r="C28" s="507">
        <v>2</v>
      </c>
      <c r="D28" s="476" t="s">
        <v>375</v>
      </c>
      <c r="E28" s="491"/>
    </row>
    <row r="29" spans="1:7" ht="15" customHeight="1" thickBot="1">
      <c r="A29" s="584"/>
      <c r="B29" s="481" t="s">
        <v>385</v>
      </c>
      <c r="C29" s="504">
        <v>25</v>
      </c>
      <c r="D29" s="482"/>
      <c r="E29" s="487"/>
    </row>
    <row r="30" spans="1:7" ht="16" thickBot="1">
      <c r="A30" s="477"/>
      <c r="B30" s="473"/>
      <c r="C30" s="503"/>
      <c r="D30" s="473"/>
      <c r="E30" s="473"/>
    </row>
    <row r="31" spans="1:7" ht="16" thickBot="1">
      <c r="A31" s="473"/>
      <c r="B31" s="483" t="s">
        <v>323</v>
      </c>
      <c r="C31" s="501"/>
      <c r="D31" s="484"/>
      <c r="E31" s="485"/>
    </row>
    <row r="32" spans="1:7">
      <c r="A32" s="584"/>
      <c r="B32" s="480" t="s">
        <v>423</v>
      </c>
      <c r="C32" s="500">
        <v>1</v>
      </c>
      <c r="D32" s="473"/>
      <c r="E32" s="486"/>
    </row>
    <row r="33" spans="1:5" ht="16" thickBot="1">
      <c r="A33" s="584"/>
      <c r="B33" s="481" t="s">
        <v>376</v>
      </c>
      <c r="C33" s="504">
        <v>25</v>
      </c>
      <c r="D33" s="482"/>
      <c r="E33" s="487"/>
    </row>
    <row r="34" spans="1:5">
      <c r="A34" s="473"/>
      <c r="C34" s="508"/>
    </row>
    <row r="35" spans="1:5">
      <c r="A35" s="473"/>
    </row>
    <row r="36" spans="1:5">
      <c r="A36" s="473"/>
    </row>
    <row r="37" spans="1:5">
      <c r="A37" s="473"/>
    </row>
    <row r="38" spans="1:5">
      <c r="A38" s="473"/>
    </row>
    <row r="39" spans="1:5">
      <c r="A39" s="473"/>
    </row>
    <row r="40" spans="1:5">
      <c r="A40" s="473"/>
    </row>
    <row r="41" spans="1:5">
      <c r="A41" s="473"/>
    </row>
    <row r="42" spans="1:5">
      <c r="A42" s="473"/>
    </row>
    <row r="43" spans="1:5">
      <c r="A43" s="473"/>
    </row>
    <row r="44" spans="1:5">
      <c r="A44" s="473"/>
    </row>
    <row r="45" spans="1:5">
      <c r="A45" s="473"/>
    </row>
    <row r="46" spans="1:5">
      <c r="A46" s="473"/>
    </row>
    <row r="47" spans="1:5">
      <c r="A47" s="473"/>
    </row>
    <row r="48" spans="1:5">
      <c r="A48" s="473"/>
    </row>
    <row r="49" spans="1:1">
      <c r="A49" s="473"/>
    </row>
    <row r="50" spans="1:1">
      <c r="A50" s="473"/>
    </row>
  </sheetData>
  <mergeCells count="11">
    <mergeCell ref="A1:E1"/>
    <mergeCell ref="A2:E2"/>
    <mergeCell ref="D14:E14"/>
    <mergeCell ref="A17:A19"/>
    <mergeCell ref="A32:A33"/>
    <mergeCell ref="D17:E19"/>
    <mergeCell ref="D22:E23"/>
    <mergeCell ref="D13:E13"/>
    <mergeCell ref="A22:A23"/>
    <mergeCell ref="A26:A27"/>
    <mergeCell ref="A28:A29"/>
  </mergeCells>
  <printOptions horizontalCentered="1"/>
  <pageMargins left="0.2" right="0.2" top="0.25" bottom="0.25" header="0.3" footer="0.3"/>
  <pageSetup scale="8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Top Sheet</vt:lpstr>
      <vt:lpstr>Summary New Year</vt:lpstr>
      <vt:lpstr>New Year-Full Year</vt:lpstr>
      <vt:lpstr>Pastor Detail</vt:lpstr>
      <vt:lpstr>Band Estimate</vt:lpstr>
      <vt:lpstr>Rates</vt:lpstr>
      <vt:lpstr>Bud_Yr</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2019-01-08T21:50:04Z</cp:lastPrinted>
  <dcterms:created xsi:type="dcterms:W3CDTF">2011-12-01T18:07:46Z</dcterms:created>
  <dcterms:modified xsi:type="dcterms:W3CDTF">2019-12-01T21:01:00Z</dcterms:modified>
</cp:coreProperties>
</file>